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현재_통합_문서" defaultThemeVersion="124226"/>
  <mc:AlternateContent xmlns:mc="http://schemas.openxmlformats.org/markup-compatibility/2006">
    <mc:Choice Requires="x15">
      <x15ac:absPath xmlns:x15ac="http://schemas.microsoft.com/office/spreadsheetml/2010/11/ac" url="D:\남산초행정실장\교육공무직\급여\"/>
    </mc:Choice>
  </mc:AlternateContent>
  <bookViews>
    <workbookView xWindow="330" yWindow="345" windowWidth="28035" windowHeight="10380"/>
  </bookViews>
  <sheets>
    <sheet name="입력" sheetId="1" r:id="rId1"/>
    <sheet name="임금총괄" sheetId="4" r:id="rId2"/>
    <sheet name="4대보험료" sheetId="2" r:id="rId3"/>
    <sheet name="명세서" sheetId="23" r:id="rId4"/>
    <sheet name="임금대장" sheetId="24" r:id="rId5"/>
    <sheet name="2021임금누적" sheetId="6" r:id="rId6"/>
    <sheet name="2021보험료누적" sheetId="3" r:id="rId7"/>
    <sheet name="2021통상임금" sheetId="7" r:id="rId8"/>
  </sheets>
  <externalReferences>
    <externalReference r:id="rId9"/>
  </externalReferences>
  <definedNames>
    <definedName name="_xlnm._FilterDatabase" localSheetId="5" hidden="1">'2021임금누적'!$A$2:$BR$147</definedName>
    <definedName name="_xlnm.Print_Area" localSheetId="6">'2021보험료누적'!$A$1:$V$175</definedName>
    <definedName name="_xlnm.Print_Area" localSheetId="5">'2021임금누적'!$A$1:$BR$187</definedName>
    <definedName name="_xlnm.Print_Area" localSheetId="7">'2021통상임금'!$A$1:$Q$16</definedName>
    <definedName name="_xlnm.Print_Area" localSheetId="2">'4대보험료'!$A$1:$V$22</definedName>
    <definedName name="_xlnm.Print_Area" localSheetId="3">명세서!$A$1:$H$51</definedName>
    <definedName name="_xlnm.Print_Area" localSheetId="4">임금대장!$A$1:$AA$22</definedName>
    <definedName name="_xlnm.Print_Area" localSheetId="1">임금총괄!$A$1:$AB$20</definedName>
    <definedName name="_xlnm.Print_Titles" localSheetId="6">'2021보험료누적'!$1:$3</definedName>
    <definedName name="_xlnm.Print_Titles" localSheetId="5">'2021임금누적'!$2:$2</definedName>
    <definedName name="가족수">입력!$H$4:$H$17</definedName>
    <definedName name="가족수당">입력!$AS$4:$AS$17</definedName>
    <definedName name="건강보험">입력!$BH$4:$BH$17</definedName>
    <definedName name="건강보험2">입력!$BX$4:$BX$17</definedName>
    <definedName name="건강보험정산">입력!$BJ$4:$BJ$17</definedName>
    <definedName name="건강보험정산분2">입력!$BZ$4:$BZ$17</definedName>
    <definedName name="계좌번호">입력!$Z$4:$Z$17</definedName>
    <definedName name="고용보험실업급여">입력!$BK$4:$BK$17</definedName>
    <definedName name="고용보험실업급여2">입력!$CA$4:$CA$17</definedName>
    <definedName name="고용보험정산">입력!$BN$4:$BN$17</definedName>
    <definedName name="고용보험정산분2">입력!$CD$4:$CD$17</definedName>
    <definedName name="고용안정사업2">입력!$CB$4:$CB$17</definedName>
    <definedName name="공제계">입력!$BQ$4:$BQ$17</definedName>
    <definedName name="공제목록">입력!$BE$3:$BP$3</definedName>
    <definedName name="교육연구비">입력!$AN$4:$AN$17</definedName>
    <definedName name="교직수당">입력!$AM$4:$AM$17</definedName>
    <definedName name="교직원공제회">입력!$BM$4:$BM$17</definedName>
    <definedName name="교통보조비">입력!$AR$4:$AR$17</definedName>
    <definedName name="국민연금">입력!$BG$4:$BG$17</definedName>
    <definedName name="국민연금2">입력!$BW$4:$BW$17</definedName>
    <definedName name="군지역근무수당">입력!$AL$4:$AL$17</definedName>
    <definedName name="근로자의날">입력!$AY$4:$AY$17</definedName>
    <definedName name="근로형태">입력!$F$4:$F$17</definedName>
    <definedName name="근무일수">입력!$AD$4:$AD$17</definedName>
    <definedName name="근속년수" localSheetId="6">[1]입력!$Z$38:$AB$58</definedName>
    <definedName name="근속년수" localSheetId="2">[1]입력!$Z$38:$AB$58</definedName>
    <definedName name="근속년수">입력!$Z$37:$AB$57</definedName>
    <definedName name="근속수당">입력!$AO$4:$AO$17</definedName>
    <definedName name="금융기관">입력!$Y$4:$Y$17</definedName>
    <definedName name="급식비">입력!$AV$4:$AV$17</definedName>
    <definedName name="급여계">입력!$BB$4:$BB$17</definedName>
    <definedName name="기본급">입력!$AJ$4:$AJ$17</definedName>
    <definedName name="기술정보수당">입력!$AT$4:$AT$17</definedName>
    <definedName name="기준액">입력!$AC$4:$AC$17</definedName>
    <definedName name="기타공제">입력!$BP$4:$BP$17</definedName>
    <definedName name="노인장기요양보험">입력!$BI$4:$BI$17</definedName>
    <definedName name="노인장기요양보험정산">입력!$BL$4:$BL$17</definedName>
    <definedName name="당월일수">입력!$AG$4:$AG$17</definedName>
    <definedName name="맞춤형복지비">입력!$BT$4:$BT$17</definedName>
    <definedName name="명부">입력!$B$4:$B$16</definedName>
    <definedName name="명절휴가비">입력!$AQ$4:$AQ$17</definedName>
    <definedName name="무기계약전환일">입력!$X$4:$X$17</definedName>
    <definedName name="범위">입력!$B$3:$BT$17</definedName>
    <definedName name="보수월액1">입력!$BC$4:$BC$17</definedName>
    <definedName name="보수월액2">입력!$BD$4:$BD$17</definedName>
    <definedName name="본교_근무년수__연차일수">입력!$K$4:$K$17</definedName>
    <definedName name="산재보험2">입력!$CE$4:$CE$17</definedName>
    <definedName name="산재보험정산분2">입력!$CG$4:$CG$17</definedName>
    <definedName name="성명">입력!$B$4:$B$17</definedName>
    <definedName name="소득세">입력!$BE$4:$BE$17</definedName>
    <definedName name="수당목록">입력!$AJ$3:$BA$3</definedName>
    <definedName name="순회근무수당">입력!$AK$4:$AK$17</definedName>
    <definedName name="시간외근무수당">입력!$AP$4:$AP$17</definedName>
    <definedName name="실수령액">입력!$BR$4:$BR$17</definedName>
    <definedName name="연차수당">입력!$AZ$4:$AZ$17</definedName>
    <definedName name="연차일수">입력!$W$4:$W$17</definedName>
    <definedName name="연차일수계산기산일">입력!$J$4:$J$15</definedName>
    <definedName name="우유비">입력!$BO$4:$BO$17</definedName>
    <definedName name="위험근무수당">입력!$AU$4:$AU$17</definedName>
    <definedName name="이전_근무년수">입력!$Q$4:$Q$17</definedName>
    <definedName name="자녀학비보조수당">입력!$AX$4:$AX$17</definedName>
    <definedName name="장기요양보험2">입력!$BY$4:$BY$17</definedName>
    <definedName name="장기요양보험정산분2">입력!$CC$4:$CC$17</definedName>
    <definedName name="정기상여금">입력!$AW$4:$AW$17</definedName>
    <definedName name="주당근무시간">입력!$AI$4:$AI$17</definedName>
    <definedName name="주민등록번호">입력!$D$4:$D$17</definedName>
    <definedName name="주소">입력!$E$4:$E$17</definedName>
    <definedName name="주차일수">입력!$AE$4:$AE$17</definedName>
    <definedName name="지급일수">입력!$AF$4:$AF$17</definedName>
    <definedName name="지방소득세">입력!$BF$4:$BF$17</definedName>
    <definedName name="직업능력개발2">입력!$CD$4:$CD$15</definedName>
    <definedName name="직종">입력!$C$4:$C$17</definedName>
    <definedName name="직종2">입력!$I$37:$I$51</definedName>
    <definedName name="최종근무년수">입력!$T$4:$T$17</definedName>
    <definedName name="최종근무월">입력!$U$4:$U$17</definedName>
    <definedName name="최초임용일">입력!$I$4:$I$17</definedName>
    <definedName name="통상임금">입력!$AH$4:$AH$17</definedName>
    <definedName name="퇴직금">입력!$BA$4:$BA$17</definedName>
    <definedName name="학교명" localSheetId="6">[1]입력!$E$2</definedName>
    <definedName name="학교명" localSheetId="2">[1]입력!$E$2</definedName>
    <definedName name="학교명">입력!$E$2</definedName>
  </definedNames>
  <calcPr calcId="162913"/>
</workbook>
</file>

<file path=xl/calcChain.xml><?xml version="1.0" encoding="utf-8"?>
<calcChain xmlns="http://schemas.openxmlformats.org/spreadsheetml/2006/main">
  <c r="A1" i="4" l="1"/>
  <c r="AC3" i="24"/>
  <c r="U5" i="24"/>
  <c r="Q5" i="24"/>
  <c r="I4" i="24"/>
  <c r="G4" i="24"/>
  <c r="AV13" i="1"/>
  <c r="AQ13" i="1" l="1"/>
  <c r="B6" i="4" l="1"/>
  <c r="B5" i="2" s="1"/>
  <c r="B7" i="4"/>
  <c r="B6" i="2" s="1"/>
  <c r="B8" i="4"/>
  <c r="B7" i="2" s="1"/>
  <c r="B9" i="4"/>
  <c r="B8" i="2" s="1"/>
  <c r="B10" i="4"/>
  <c r="B9" i="2" s="1"/>
  <c r="B11" i="4"/>
  <c r="B10" i="2" s="1"/>
  <c r="B12" i="4"/>
  <c r="B11" i="2" s="1"/>
  <c r="B13" i="4"/>
  <c r="B12" i="2" s="1"/>
  <c r="B14" i="4"/>
  <c r="B13" i="2" s="1"/>
  <c r="B15" i="4"/>
  <c r="B14" i="2" s="1"/>
  <c r="B16" i="4"/>
  <c r="B15" i="2" s="1"/>
  <c r="B5" i="4"/>
  <c r="B4" i="2" s="1"/>
  <c r="AQ6" i="1"/>
  <c r="AQ7" i="1"/>
  <c r="AQ8" i="1"/>
  <c r="AQ9" i="1"/>
  <c r="AQ10" i="1"/>
  <c r="AQ11" i="1"/>
  <c r="AQ12" i="1"/>
  <c r="AQ5" i="1"/>
  <c r="BG13" i="1" l="1"/>
  <c r="BG12" i="1"/>
  <c r="BG11" i="1"/>
  <c r="BG10" i="1"/>
  <c r="BG9" i="1"/>
  <c r="BG8" i="1"/>
  <c r="BG7" i="1"/>
  <c r="BG6" i="1"/>
  <c r="BG5" i="1"/>
  <c r="AA12" i="1"/>
  <c r="AA11" i="1"/>
  <c r="AA10" i="1"/>
  <c r="AA9" i="1"/>
  <c r="AA8" i="1"/>
  <c r="AA7" i="1"/>
  <c r="AA6" i="1"/>
  <c r="AA5" i="1"/>
  <c r="BK1" i="6"/>
  <c r="J5" i="23"/>
  <c r="D40" i="23"/>
  <c r="C4" i="24" l="1"/>
  <c r="J4" i="23"/>
  <c r="F4" i="23" s="1"/>
  <c r="E21" i="24"/>
  <c r="D21" i="24"/>
  <c r="C21" i="24"/>
  <c r="B21" i="24"/>
  <c r="X21" i="24"/>
  <c r="R21" i="24"/>
  <c r="O21" i="24"/>
  <c r="J21" i="24"/>
  <c r="I21" i="24"/>
  <c r="H21" i="24"/>
  <c r="AS13" i="1"/>
  <c r="J27" i="23"/>
  <c r="G3" i="23"/>
  <c r="C3" i="23"/>
  <c r="G27" i="23"/>
  <c r="F49" i="23"/>
  <c r="G23" i="23"/>
  <c r="G24" i="23"/>
  <c r="G25" i="23"/>
  <c r="G26" i="23"/>
  <c r="E22" i="23"/>
  <c r="E27" i="23"/>
  <c r="C5" i="23"/>
  <c r="G15" i="23"/>
  <c r="G14" i="23"/>
  <c r="E21" i="23"/>
  <c r="E14" i="23"/>
  <c r="G13" i="23"/>
  <c r="G16" i="23"/>
  <c r="G41" i="23"/>
  <c r="G11" i="23"/>
  <c r="E18" i="23"/>
  <c r="E16" i="23"/>
  <c r="G17" i="23"/>
  <c r="E23" i="23"/>
  <c r="G20" i="23"/>
  <c r="E20" i="23"/>
  <c r="G21" i="23"/>
  <c r="F6" i="23"/>
  <c r="G18" i="23"/>
  <c r="F5" i="23"/>
  <c r="G22" i="23"/>
  <c r="E15" i="23"/>
  <c r="E25" i="23"/>
  <c r="E19" i="23"/>
  <c r="G19" i="23"/>
  <c r="E26" i="23"/>
  <c r="G12" i="23"/>
  <c r="G28" i="23" l="1"/>
  <c r="A1" i="6"/>
  <c r="BW8" i="1" l="1"/>
  <c r="BW9" i="1"/>
  <c r="BW7" i="1"/>
  <c r="CF7" i="1" s="1"/>
  <c r="BB3" i="6" l="1"/>
  <c r="BQ3" i="6"/>
  <c r="BB4" i="6"/>
  <c r="BQ4" i="6"/>
  <c r="BB5" i="6"/>
  <c r="BQ5" i="6"/>
  <c r="BB6" i="6"/>
  <c r="BQ6" i="6"/>
  <c r="BB7" i="6"/>
  <c r="BQ7" i="6"/>
  <c r="BB8" i="6"/>
  <c r="BQ8" i="6"/>
  <c r="BB9" i="6"/>
  <c r="BQ9" i="6"/>
  <c r="BR9" i="6" s="1"/>
  <c r="BB10" i="6"/>
  <c r="BQ10" i="6"/>
  <c r="BB11" i="6"/>
  <c r="BQ11" i="6"/>
  <c r="BB12" i="6"/>
  <c r="BR12" i="6" s="1"/>
  <c r="BQ12" i="6"/>
  <c r="BB13" i="6"/>
  <c r="BQ13" i="6"/>
  <c r="BR13" i="6" s="1"/>
  <c r="BB14" i="6"/>
  <c r="BQ14" i="6"/>
  <c r="BB15" i="6"/>
  <c r="BQ15" i="6"/>
  <c r="BB16" i="6"/>
  <c r="BQ16" i="6"/>
  <c r="BB17" i="6"/>
  <c r="BQ17" i="6"/>
  <c r="BB18" i="6"/>
  <c r="BR18" i="6" s="1"/>
  <c r="BQ18" i="6"/>
  <c r="BB19" i="6"/>
  <c r="BQ19" i="6"/>
  <c r="BB20" i="6"/>
  <c r="BQ20" i="6"/>
  <c r="BB21" i="6"/>
  <c r="BQ21" i="6"/>
  <c r="BB22" i="6"/>
  <c r="BQ22" i="6"/>
  <c r="BR22" i="6"/>
  <c r="BB23" i="6"/>
  <c r="BQ23" i="6"/>
  <c r="BB24" i="6"/>
  <c r="BQ24" i="6"/>
  <c r="BB25" i="6"/>
  <c r="BQ25" i="6"/>
  <c r="BB26" i="6"/>
  <c r="BQ26" i="6"/>
  <c r="BB27" i="6"/>
  <c r="BQ27" i="6"/>
  <c r="BB28" i="6"/>
  <c r="BQ28" i="6"/>
  <c r="BB29" i="6"/>
  <c r="BQ29" i="6"/>
  <c r="BR29" i="6" s="1"/>
  <c r="BB30" i="6"/>
  <c r="BQ30" i="6"/>
  <c r="BB31" i="6"/>
  <c r="BQ31" i="6"/>
  <c r="BB32" i="6"/>
  <c r="BQ32" i="6"/>
  <c r="BB33" i="6"/>
  <c r="BQ33" i="6"/>
  <c r="BR33" i="6" s="1"/>
  <c r="BB34" i="6"/>
  <c r="BQ34" i="6"/>
  <c r="BB35" i="6"/>
  <c r="BQ35" i="6"/>
  <c r="BB36" i="6"/>
  <c r="BQ36" i="6"/>
  <c r="BB38" i="6"/>
  <c r="BQ38" i="6"/>
  <c r="BR38" i="6" s="1"/>
  <c r="BB39" i="6"/>
  <c r="BQ39" i="6"/>
  <c r="BB40" i="6"/>
  <c r="BQ40" i="6"/>
  <c r="BB41" i="6"/>
  <c r="BQ41" i="6"/>
  <c r="BB42" i="6"/>
  <c r="BQ42" i="6"/>
  <c r="BR42" i="6" s="1"/>
  <c r="BB43" i="6"/>
  <c r="BR43" i="6" s="1"/>
  <c r="BQ43" i="6"/>
  <c r="BB44" i="6"/>
  <c r="BQ44" i="6"/>
  <c r="BB45" i="6"/>
  <c r="BQ45" i="6"/>
  <c r="BB46" i="6"/>
  <c r="BQ46" i="6"/>
  <c r="BR46" i="6" s="1"/>
  <c r="BB47" i="6"/>
  <c r="BR47" i="6" s="1"/>
  <c r="BQ47" i="6"/>
  <c r="BB48" i="6"/>
  <c r="BQ48" i="6"/>
  <c r="BB49" i="6"/>
  <c r="BQ49" i="6"/>
  <c r="BB50" i="6"/>
  <c r="BQ50" i="6"/>
  <c r="BB51" i="6"/>
  <c r="BR51" i="6" s="1"/>
  <c r="BQ51" i="6"/>
  <c r="BB52" i="6"/>
  <c r="BQ52" i="6"/>
  <c r="BB53" i="6"/>
  <c r="BQ53" i="6"/>
  <c r="BB54" i="6"/>
  <c r="BQ54" i="6"/>
  <c r="BB55" i="6"/>
  <c r="BQ55" i="6"/>
  <c r="BR55" i="6"/>
  <c r="BB56" i="6"/>
  <c r="BR56" i="6" s="1"/>
  <c r="BQ56" i="6"/>
  <c r="BB57" i="6"/>
  <c r="BR57" i="6" s="1"/>
  <c r="BQ57" i="6"/>
  <c r="BB58" i="6"/>
  <c r="BQ58" i="6"/>
  <c r="BB59" i="6"/>
  <c r="BR59" i="6" s="1"/>
  <c r="BQ59" i="6"/>
  <c r="BB60" i="6"/>
  <c r="BQ60" i="6"/>
  <c r="BB61" i="6"/>
  <c r="BQ61" i="6"/>
  <c r="BB62" i="6"/>
  <c r="BQ62" i="6"/>
  <c r="BB63" i="6"/>
  <c r="BQ63" i="6"/>
  <c r="BB64" i="6"/>
  <c r="BQ64" i="6"/>
  <c r="BB65" i="6"/>
  <c r="BQ65" i="6"/>
  <c r="BB66" i="6"/>
  <c r="BQ66" i="6"/>
  <c r="BR66" i="6" s="1"/>
  <c r="BB67" i="6"/>
  <c r="BR67" i="6" s="1"/>
  <c r="BQ67" i="6"/>
  <c r="BB68" i="6"/>
  <c r="BQ68" i="6"/>
  <c r="BR54" i="6" l="1"/>
  <c r="BR25" i="6"/>
  <c r="BR19" i="6"/>
  <c r="BR63" i="6"/>
  <c r="BR39" i="6"/>
  <c r="BR34" i="6"/>
  <c r="BR30" i="6"/>
  <c r="BR10" i="6"/>
  <c r="BR40" i="6"/>
  <c r="BR24" i="6"/>
  <c r="BR62" i="6"/>
  <c r="BR31" i="6"/>
  <c r="BR60" i="6"/>
  <c r="BR26" i="6"/>
  <c r="BR14" i="6"/>
  <c r="BR6" i="6"/>
  <c r="BR3" i="6"/>
  <c r="BR35" i="6"/>
  <c r="BR28" i="6"/>
  <c r="BR5" i="6"/>
  <c r="BR23" i="6"/>
  <c r="BR16" i="6"/>
  <c r="BR52" i="6"/>
  <c r="BR45" i="6"/>
  <c r="BR15" i="6"/>
  <c r="BR8" i="6"/>
  <c r="BR65" i="6"/>
  <c r="BR58" i="6"/>
  <c r="BR44" i="6"/>
  <c r="BR36" i="6"/>
  <c r="BR53" i="6"/>
  <c r="BR64" i="6"/>
  <c r="BR21" i="6"/>
  <c r="BR7" i="6"/>
  <c r="BR50" i="6"/>
  <c r="BR27" i="6"/>
  <c r="BR20" i="6"/>
  <c r="BR49" i="6"/>
  <c r="BR41" i="6"/>
  <c r="BR68" i="6"/>
  <c r="BR61" i="6"/>
  <c r="BR11" i="6"/>
  <c r="BR4" i="6"/>
  <c r="BR32" i="6"/>
  <c r="BR48" i="6"/>
  <c r="BR17" i="6"/>
  <c r="AL17" i="1"/>
  <c r="AK17" i="1"/>
  <c r="BA17" i="1"/>
  <c r="AZ17" i="1"/>
  <c r="AY17" i="1"/>
  <c r="AR17" i="1"/>
  <c r="AQ17" i="1"/>
  <c r="BJ17" i="1"/>
  <c r="BK17" i="1"/>
  <c r="BL17" i="1"/>
  <c r="BM17" i="1"/>
  <c r="BN17" i="1"/>
  <c r="BO17" i="1"/>
  <c r="BP17" i="1"/>
  <c r="AN13" i="1" l="1"/>
  <c r="AN17" i="1" s="1"/>
  <c r="AM13" i="1"/>
  <c r="AM17" i="1" s="1"/>
  <c r="BP184" i="6" l="1"/>
  <c r="BO184" i="6"/>
  <c r="BN184" i="6"/>
  <c r="BM184" i="6"/>
  <c r="BL184" i="6"/>
  <c r="BK184" i="6"/>
  <c r="BJ184" i="6"/>
  <c r="BI184" i="6"/>
  <c r="BH184" i="6"/>
  <c r="BG184" i="6"/>
  <c r="BF184" i="6"/>
  <c r="BE184" i="6"/>
  <c r="BA184" i="6"/>
  <c r="AZ184" i="6"/>
  <c r="AY184" i="6"/>
  <c r="AX184" i="6"/>
  <c r="AW184" i="6"/>
  <c r="AV184" i="6"/>
  <c r="AU184" i="6"/>
  <c r="AT184" i="6"/>
  <c r="AS184" i="6"/>
  <c r="AR184" i="6"/>
  <c r="AQ184" i="6"/>
  <c r="AP184" i="6"/>
  <c r="AO184" i="6"/>
  <c r="AN184" i="6"/>
  <c r="AM184" i="6"/>
  <c r="AL184" i="6"/>
  <c r="AK184" i="6"/>
  <c r="AJ184" i="6"/>
  <c r="BP183" i="6"/>
  <c r="BO183" i="6"/>
  <c r="BN183" i="6"/>
  <c r="BM183" i="6"/>
  <c r="BL183" i="6"/>
  <c r="BK183" i="6"/>
  <c r="BJ183" i="6"/>
  <c r="BI183" i="6"/>
  <c r="BH183" i="6"/>
  <c r="BG183" i="6"/>
  <c r="BF183" i="6"/>
  <c r="BE183" i="6"/>
  <c r="BA183" i="6"/>
  <c r="AZ183" i="6"/>
  <c r="AY183" i="6"/>
  <c r="AX183" i="6"/>
  <c r="AW183" i="6"/>
  <c r="AV183" i="6"/>
  <c r="AU183" i="6"/>
  <c r="AT183" i="6"/>
  <c r="AS183" i="6"/>
  <c r="AR183" i="6"/>
  <c r="AQ183" i="6"/>
  <c r="AP183" i="6"/>
  <c r="AO183" i="6"/>
  <c r="AN183" i="6"/>
  <c r="AM183" i="6"/>
  <c r="AL183" i="6"/>
  <c r="AK183" i="6"/>
  <c r="AJ183" i="6"/>
  <c r="BP182" i="6"/>
  <c r="BO182" i="6"/>
  <c r="BN182" i="6"/>
  <c r="BM182" i="6"/>
  <c r="BL182" i="6"/>
  <c r="BK182" i="6"/>
  <c r="BJ182" i="6"/>
  <c r="BI182" i="6"/>
  <c r="BH182" i="6"/>
  <c r="BG182" i="6"/>
  <c r="BF182" i="6"/>
  <c r="BE182" i="6"/>
  <c r="BA182" i="6"/>
  <c r="AZ182" i="6"/>
  <c r="AY182" i="6"/>
  <c r="AX182" i="6"/>
  <c r="AW182" i="6"/>
  <c r="AV182" i="6"/>
  <c r="AU182" i="6"/>
  <c r="AT182" i="6"/>
  <c r="AS182" i="6"/>
  <c r="AR182" i="6"/>
  <c r="AQ182" i="6"/>
  <c r="AP182" i="6"/>
  <c r="AO182" i="6"/>
  <c r="AN182" i="6"/>
  <c r="AM182" i="6"/>
  <c r="AL182" i="6"/>
  <c r="AK182" i="6"/>
  <c r="AJ182" i="6"/>
  <c r="BP171" i="6"/>
  <c r="BO171" i="6"/>
  <c r="BN171" i="6"/>
  <c r="BM171" i="6"/>
  <c r="BL171" i="6"/>
  <c r="BK171" i="6"/>
  <c r="BJ171" i="6"/>
  <c r="BI171" i="6"/>
  <c r="BH171" i="6"/>
  <c r="BG171" i="6"/>
  <c r="BF171" i="6"/>
  <c r="BE171" i="6"/>
  <c r="BA171" i="6"/>
  <c r="AZ171" i="6"/>
  <c r="AY171" i="6"/>
  <c r="AX171" i="6"/>
  <c r="AW171" i="6"/>
  <c r="AV171" i="6"/>
  <c r="AU171" i="6"/>
  <c r="AT171" i="6"/>
  <c r="AS171" i="6"/>
  <c r="AR171" i="6"/>
  <c r="AQ171" i="6"/>
  <c r="AP171" i="6"/>
  <c r="AO171" i="6"/>
  <c r="AN171" i="6"/>
  <c r="AM171" i="6"/>
  <c r="AL171" i="6"/>
  <c r="AK171" i="6"/>
  <c r="AJ171" i="6"/>
  <c r="BR176" i="6"/>
  <c r="BQ176" i="6"/>
  <c r="BP176" i="6"/>
  <c r="BO176" i="6"/>
  <c r="BN176" i="6"/>
  <c r="BM176" i="6"/>
  <c r="BL176" i="6"/>
  <c r="BK176" i="6"/>
  <c r="BJ176" i="6"/>
  <c r="BI176" i="6"/>
  <c r="BH176" i="6"/>
  <c r="BG176" i="6"/>
  <c r="BF176" i="6"/>
  <c r="BE176" i="6"/>
  <c r="BB176" i="6"/>
  <c r="BA176" i="6"/>
  <c r="AZ176" i="6"/>
  <c r="AY176" i="6"/>
  <c r="AX176" i="6"/>
  <c r="AW176" i="6"/>
  <c r="AV176" i="6"/>
  <c r="AU176" i="6"/>
  <c r="AT176" i="6"/>
  <c r="AS176" i="6"/>
  <c r="AR176" i="6"/>
  <c r="AQ176" i="6"/>
  <c r="AP176" i="6"/>
  <c r="AO176" i="6"/>
  <c r="AN176" i="6"/>
  <c r="AM176" i="6"/>
  <c r="AL176" i="6"/>
  <c r="AK176" i="6"/>
  <c r="AJ176" i="6"/>
  <c r="BR175" i="6"/>
  <c r="BQ175" i="6"/>
  <c r="BP175" i="6"/>
  <c r="BO175" i="6"/>
  <c r="BN175" i="6"/>
  <c r="BM175" i="6"/>
  <c r="BL175" i="6"/>
  <c r="BK175" i="6"/>
  <c r="BJ175" i="6"/>
  <c r="BI175" i="6"/>
  <c r="BH175" i="6"/>
  <c r="BG175" i="6"/>
  <c r="BF175" i="6"/>
  <c r="BE175" i="6"/>
  <c r="BB175" i="6"/>
  <c r="BA175" i="6"/>
  <c r="AZ175" i="6"/>
  <c r="AY175" i="6"/>
  <c r="AX175" i="6"/>
  <c r="AW175" i="6"/>
  <c r="AV175" i="6"/>
  <c r="AU175" i="6"/>
  <c r="AT175" i="6"/>
  <c r="AS175" i="6"/>
  <c r="AR175" i="6"/>
  <c r="AQ175" i="6"/>
  <c r="AP175" i="6"/>
  <c r="AO175" i="6"/>
  <c r="AN175" i="6"/>
  <c r="AM175" i="6"/>
  <c r="AL175" i="6"/>
  <c r="AK175" i="6"/>
  <c r="AJ175" i="6"/>
  <c r="CA4" i="1" l="1"/>
  <c r="CB17" i="1"/>
  <c r="T8" i="2"/>
  <c r="Q8" i="2"/>
  <c r="K8" i="2"/>
  <c r="I8" i="2"/>
  <c r="P9" i="2"/>
  <c r="R8" i="2"/>
  <c r="I9" i="2"/>
  <c r="O9" i="2"/>
  <c r="O8" i="2"/>
  <c r="H9" i="2"/>
  <c r="R9" i="2"/>
  <c r="N8" i="2"/>
  <c r="J9" i="2"/>
  <c r="G8" i="2"/>
  <c r="S8" i="2"/>
  <c r="L8" i="2"/>
  <c r="K9" i="2"/>
  <c r="Q9" i="2"/>
  <c r="G9" i="2"/>
  <c r="H8" i="2"/>
  <c r="T9" i="2"/>
  <c r="L9" i="2"/>
  <c r="N9" i="2"/>
  <c r="S9" i="2"/>
  <c r="J8" i="2"/>
  <c r="P8" i="2"/>
  <c r="U9" i="2" l="1"/>
  <c r="U8" i="2"/>
  <c r="J10" i="4"/>
  <c r="J9" i="4"/>
  <c r="J11" i="4"/>
  <c r="J8" i="4"/>
  <c r="J12" i="4"/>
  <c r="CA5" i="1" l="1"/>
  <c r="CA6" i="1"/>
  <c r="CA7" i="1"/>
  <c r="CA8" i="1"/>
  <c r="CA9" i="1"/>
  <c r="CA10" i="1"/>
  <c r="CA11" i="1"/>
  <c r="CA12" i="1"/>
  <c r="CA13" i="1"/>
  <c r="E9" i="2"/>
  <c r="F9" i="2"/>
  <c r="F8" i="2"/>
  <c r="BC17" i="1" l="1"/>
  <c r="AS6" i="1"/>
  <c r="J6" i="1"/>
  <c r="AS5" i="1"/>
  <c r="AS17" i="1" s="1"/>
  <c r="BH5" i="1" l="1"/>
  <c r="BX5" i="1" s="1"/>
  <c r="BH6" i="1"/>
  <c r="BX6" i="1" s="1"/>
  <c r="BH7" i="1"/>
  <c r="BX8" i="1"/>
  <c r="BH10" i="1"/>
  <c r="BH11" i="1"/>
  <c r="BH12" i="1"/>
  <c r="BH13" i="1"/>
  <c r="BH14" i="1"/>
  <c r="BH4" i="1"/>
  <c r="C8" i="2"/>
  <c r="BX4" i="1" l="1"/>
  <c r="BH17" i="1"/>
  <c r="BI4" i="1"/>
  <c r="BI11" i="1"/>
  <c r="BY11" i="1" s="1"/>
  <c r="BX11" i="1"/>
  <c r="BI7" i="1"/>
  <c r="BY7" i="1" s="1"/>
  <c r="BX7" i="1"/>
  <c r="BI5" i="1"/>
  <c r="BY5" i="1" s="1"/>
  <c r="BI14" i="1"/>
  <c r="BY14" i="1" s="1"/>
  <c r="BX14" i="1"/>
  <c r="BI10" i="1"/>
  <c r="BY10" i="1" s="1"/>
  <c r="BX10" i="1"/>
  <c r="BI13" i="1"/>
  <c r="BY13" i="1" s="1"/>
  <c r="BX13" i="1"/>
  <c r="BX9" i="1"/>
  <c r="BI12" i="1"/>
  <c r="BY12" i="1" s="1"/>
  <c r="BX12" i="1"/>
  <c r="BI6" i="1"/>
  <c r="BY6" i="1" s="1"/>
  <c r="BY8" i="1"/>
  <c r="A16" i="1"/>
  <c r="C9" i="2"/>
  <c r="D8" i="2"/>
  <c r="BY4" i="1" l="1"/>
  <c r="BI17" i="1"/>
  <c r="BQ184" i="6"/>
  <c r="BR184" i="6" l="1"/>
  <c r="BB184" i="6"/>
  <c r="BQ16" i="1"/>
  <c r="BB16" i="1"/>
  <c r="BR16" i="1" l="1"/>
  <c r="CE17" i="1"/>
  <c r="CD17" i="1"/>
  <c r="CH16" i="1"/>
  <c r="CI16" i="1" s="1"/>
  <c r="C16" i="2"/>
  <c r="BW14" i="1" l="1"/>
  <c r="W18" i="4"/>
  <c r="Y18" i="4"/>
  <c r="W17" i="4"/>
  <c r="Y17" i="4"/>
  <c r="W15" i="4"/>
  <c r="Y14" i="4"/>
  <c r="W14" i="4"/>
  <c r="W6" i="4"/>
  <c r="W9" i="4"/>
  <c r="Y8" i="4"/>
  <c r="Y15" i="4"/>
  <c r="Y13" i="4"/>
  <c r="Y10" i="4"/>
  <c r="Y6" i="4"/>
  <c r="W7" i="4"/>
  <c r="W13" i="4"/>
  <c r="Y16" i="4"/>
  <c r="Y12" i="4"/>
  <c r="W11" i="4"/>
  <c r="W16" i="4"/>
  <c r="Y7" i="4"/>
  <c r="W10" i="4"/>
  <c r="Y9" i="4"/>
  <c r="W12" i="4"/>
  <c r="Y11" i="4"/>
  <c r="Y5" i="4"/>
  <c r="W5" i="4"/>
  <c r="W8" i="4"/>
  <c r="W19" i="4" l="1"/>
  <c r="U52" i="3"/>
  <c r="U53" i="3"/>
  <c r="V53" i="3" s="1"/>
  <c r="M53" i="3"/>
  <c r="C7" i="2"/>
  <c r="C11" i="2"/>
  <c r="C12" i="2"/>
  <c r="C6" i="2"/>
  <c r="C5" i="2"/>
  <c r="C10" i="2"/>
  <c r="C14" i="2"/>
  <c r="C4" i="2"/>
  <c r="C15" i="2"/>
  <c r="M39" i="3" l="1"/>
  <c r="M40" i="3"/>
  <c r="U39" i="3"/>
  <c r="U40" i="3"/>
  <c r="BQ171" i="6"/>
  <c r="BQ182" i="6"/>
  <c r="BQ183" i="6"/>
  <c r="BB171" i="6"/>
  <c r="BB182" i="6"/>
  <c r="BB183" i="6"/>
  <c r="V40" i="3" l="1"/>
  <c r="BR183" i="6"/>
  <c r="BR182" i="6"/>
  <c r="BR171" i="6"/>
  <c r="AJ13" i="1" l="1"/>
  <c r="CA14" i="1" l="1"/>
  <c r="CA17" i="1" s="1"/>
  <c r="BZ14" i="1"/>
  <c r="T16" i="2"/>
  <c r="P16" i="2"/>
  <c r="N16" i="2"/>
  <c r="Q16" i="2"/>
  <c r="S16" i="2"/>
  <c r="O16" i="2"/>
  <c r="R16" i="2"/>
  <c r="S5" i="2"/>
  <c r="R6" i="2"/>
  <c r="N11" i="2"/>
  <c r="N14" i="2"/>
  <c r="Z16" i="4"/>
  <c r="R12" i="2"/>
  <c r="R13" i="2"/>
  <c r="R15" i="4"/>
  <c r="F16" i="4"/>
  <c r="N7" i="2"/>
  <c r="T10" i="2"/>
  <c r="T5" i="2"/>
  <c r="N4" i="2"/>
  <c r="R14" i="2"/>
  <c r="R16" i="4"/>
  <c r="V16" i="4"/>
  <c r="N5" i="2"/>
  <c r="N15" i="2"/>
  <c r="U15" i="4"/>
  <c r="T6" i="2"/>
  <c r="X15" i="4"/>
  <c r="Q15" i="2"/>
  <c r="O7" i="2"/>
  <c r="O6" i="2"/>
  <c r="T7" i="2"/>
  <c r="R7" i="2"/>
  <c r="N6" i="2"/>
  <c r="S15" i="2"/>
  <c r="S7" i="2"/>
  <c r="P13" i="2"/>
  <c r="V15" i="4"/>
  <c r="T12" i="2"/>
  <c r="T15" i="2"/>
  <c r="U16" i="4"/>
  <c r="Q12" i="2"/>
  <c r="S13" i="2"/>
  <c r="T16" i="4"/>
  <c r="R5" i="2"/>
  <c r="O14" i="2"/>
  <c r="P15" i="2"/>
  <c r="R10" i="2"/>
  <c r="S6" i="2"/>
  <c r="R11" i="2"/>
  <c r="R15" i="2"/>
  <c r="F12" i="2"/>
  <c r="S16" i="4"/>
  <c r="P14" i="2"/>
  <c r="S12" i="2"/>
  <c r="Z15" i="4"/>
  <c r="Q14" i="2"/>
  <c r="T4" i="2"/>
  <c r="E16" i="4"/>
  <c r="O15" i="2"/>
  <c r="S4" i="2"/>
  <c r="S15" i="4"/>
  <c r="R4" i="2"/>
  <c r="N13" i="2"/>
  <c r="T11" i="2"/>
  <c r="S14" i="2"/>
  <c r="P7" i="2"/>
  <c r="T14" i="2"/>
  <c r="S10" i="2"/>
  <c r="X16" i="4"/>
  <c r="S11" i="2"/>
  <c r="D14" i="2"/>
  <c r="N10" i="2"/>
  <c r="T13" i="2"/>
  <c r="N12" i="2"/>
  <c r="CB18" i="1" l="1"/>
  <c r="BK20" i="1"/>
  <c r="T17" i="2"/>
  <c r="R17" i="2"/>
  <c r="S17" i="2"/>
  <c r="T15" i="4"/>
  <c r="N17" i="2" l="1"/>
  <c r="M27" i="3" l="1"/>
  <c r="M26" i="3"/>
  <c r="M25" i="3"/>
  <c r="M24" i="3"/>
  <c r="M23" i="3"/>
  <c r="M22" i="3"/>
  <c r="M21" i="3"/>
  <c r="M20" i="3"/>
  <c r="M19" i="3"/>
  <c r="M18" i="3"/>
  <c r="M17" i="3"/>
  <c r="M16" i="3"/>
  <c r="P15" i="4"/>
  <c r="Q15" i="4"/>
  <c r="AA15" i="4" l="1"/>
  <c r="A1" i="2"/>
  <c r="A5" i="7" l="1"/>
  <c r="A6" i="7"/>
  <c r="A7" i="7"/>
  <c r="A8" i="7"/>
  <c r="A9" i="7"/>
  <c r="A10" i="7"/>
  <c r="A11" i="7"/>
  <c r="A12" i="7"/>
  <c r="A13" i="7"/>
  <c r="A14" i="7"/>
  <c r="A15" i="7"/>
  <c r="A4" i="7"/>
  <c r="U127" i="3" l="1"/>
  <c r="M127" i="3"/>
  <c r="U126" i="3"/>
  <c r="M126" i="3"/>
  <c r="U125" i="3"/>
  <c r="M125" i="3"/>
  <c r="U124" i="3"/>
  <c r="M124" i="3"/>
  <c r="U123" i="3"/>
  <c r="M123" i="3"/>
  <c r="U122" i="3"/>
  <c r="M122" i="3"/>
  <c r="U121" i="3"/>
  <c r="M121" i="3"/>
  <c r="U120" i="3"/>
  <c r="M120" i="3"/>
  <c r="U119" i="3"/>
  <c r="M119" i="3"/>
  <c r="U118" i="3"/>
  <c r="M118" i="3"/>
  <c r="U117" i="3"/>
  <c r="M117" i="3"/>
  <c r="U151" i="3"/>
  <c r="M151" i="3"/>
  <c r="U150" i="3"/>
  <c r="M150" i="3"/>
  <c r="U149" i="3"/>
  <c r="M149" i="3"/>
  <c r="U148" i="3"/>
  <c r="M148" i="3"/>
  <c r="U147" i="3"/>
  <c r="M147" i="3"/>
  <c r="U146" i="3"/>
  <c r="M146" i="3"/>
  <c r="U145" i="3"/>
  <c r="M145" i="3"/>
  <c r="U144" i="3"/>
  <c r="M144" i="3"/>
  <c r="U143" i="3"/>
  <c r="M143" i="3"/>
  <c r="U142" i="3"/>
  <c r="M142" i="3"/>
  <c r="U141" i="3"/>
  <c r="M141" i="3"/>
  <c r="U140" i="3"/>
  <c r="M140" i="3"/>
  <c r="V142" i="3" l="1"/>
  <c r="V146" i="3"/>
  <c r="V150" i="3"/>
  <c r="V151" i="3"/>
  <c r="V125" i="3"/>
  <c r="V121" i="3"/>
  <c r="V126" i="3"/>
  <c r="V123" i="3"/>
  <c r="V117" i="3"/>
  <c r="V141" i="3"/>
  <c r="V145" i="3"/>
  <c r="V149" i="3"/>
  <c r="V144" i="3"/>
  <c r="V119" i="3"/>
  <c r="V148" i="3"/>
  <c r="V143" i="3"/>
  <c r="V118" i="3"/>
  <c r="V120" i="3"/>
  <c r="V147" i="3"/>
  <c r="V122" i="3"/>
  <c r="V124" i="3"/>
  <c r="V127" i="3"/>
  <c r="V140" i="3"/>
  <c r="U129" i="3"/>
  <c r="U130" i="3"/>
  <c r="U131" i="3"/>
  <c r="U132" i="3"/>
  <c r="U133" i="3"/>
  <c r="U134" i="3"/>
  <c r="U135" i="3"/>
  <c r="U136" i="3"/>
  <c r="U137" i="3"/>
  <c r="U138" i="3"/>
  <c r="M139" i="3"/>
  <c r="M128" i="3"/>
  <c r="M129" i="3"/>
  <c r="M130" i="3"/>
  <c r="M131" i="3"/>
  <c r="M132" i="3"/>
  <c r="M133" i="3"/>
  <c r="M134" i="3"/>
  <c r="M135" i="3"/>
  <c r="M136" i="3"/>
  <c r="M137" i="3"/>
  <c r="M138" i="3"/>
  <c r="V134" i="3" l="1"/>
  <c r="V130" i="3"/>
  <c r="V137" i="3"/>
  <c r="V133" i="3"/>
  <c r="V129" i="3"/>
  <c r="U139" i="3"/>
  <c r="V139" i="3" s="1"/>
  <c r="V135" i="3"/>
  <c r="V131" i="3"/>
  <c r="V138" i="3"/>
  <c r="V132" i="3"/>
  <c r="V136" i="3"/>
  <c r="U128" i="3" l="1"/>
  <c r="V128" i="3" s="1"/>
  <c r="M105" i="3" l="1"/>
  <c r="U114" i="3"/>
  <c r="U110" i="3"/>
  <c r="U106" i="3"/>
  <c r="U107" i="3"/>
  <c r="U115" i="3"/>
  <c r="U112" i="3"/>
  <c r="U108" i="3"/>
  <c r="U104" i="3"/>
  <c r="M111" i="3"/>
  <c r="U111" i="3"/>
  <c r="V111" i="3" s="1"/>
  <c r="M110" i="3"/>
  <c r="M114" i="3"/>
  <c r="M106" i="3"/>
  <c r="M109" i="3"/>
  <c r="M113" i="3"/>
  <c r="M115" i="3"/>
  <c r="M112" i="3"/>
  <c r="M108" i="3"/>
  <c r="U109" i="3"/>
  <c r="U113" i="3"/>
  <c r="U105" i="3"/>
  <c r="V105" i="3" s="1"/>
  <c r="M107" i="3"/>
  <c r="M104" i="3"/>
  <c r="V115" i="3" l="1"/>
  <c r="V114" i="3"/>
  <c r="V104" i="3"/>
  <c r="V110" i="3"/>
  <c r="V108" i="3"/>
  <c r="V112" i="3"/>
  <c r="V106" i="3"/>
  <c r="V107" i="3"/>
  <c r="V109" i="3"/>
  <c r="V113" i="3"/>
  <c r="M93" i="3" l="1"/>
  <c r="M101" i="3"/>
  <c r="M92" i="3" l="1"/>
  <c r="M102" i="3"/>
  <c r="M100" i="3"/>
  <c r="U99" i="3"/>
  <c r="U95" i="3"/>
  <c r="M96" i="3"/>
  <c r="U96" i="3"/>
  <c r="U98" i="3"/>
  <c r="U100" i="3"/>
  <c r="M103" i="3"/>
  <c r="M97" i="3"/>
  <c r="M94" i="3"/>
  <c r="U103" i="3"/>
  <c r="M98" i="3"/>
  <c r="U92" i="3"/>
  <c r="V92" i="3" s="1"/>
  <c r="U102" i="3"/>
  <c r="V102" i="3" s="1"/>
  <c r="U94" i="3"/>
  <c r="M99" i="3"/>
  <c r="M95" i="3"/>
  <c r="U101" i="3"/>
  <c r="V101" i="3" s="1"/>
  <c r="U97" i="3"/>
  <c r="U93" i="3"/>
  <c r="V93" i="3" s="1"/>
  <c r="V95" i="3" l="1"/>
  <c r="V99" i="3"/>
  <c r="V103" i="3"/>
  <c r="V100" i="3"/>
  <c r="V96" i="3"/>
  <c r="V98" i="3"/>
  <c r="V97" i="3"/>
  <c r="V94" i="3"/>
  <c r="O4" i="2"/>
  <c r="O5" i="2"/>
  <c r="O12" i="2"/>
  <c r="O11" i="2"/>
  <c r="AW10" i="1" l="1"/>
  <c r="AW5" i="1"/>
  <c r="L15" i="4"/>
  <c r="K14" i="4"/>
  <c r="I14" i="4"/>
  <c r="P15" i="7" l="1"/>
  <c r="L13" i="7"/>
  <c r="L12" i="7"/>
  <c r="L11" i="7"/>
  <c r="L6" i="7"/>
  <c r="L5" i="7"/>
  <c r="L4" i="7"/>
  <c r="B5" i="7"/>
  <c r="B8" i="7"/>
  <c r="C11" i="7"/>
  <c r="C13" i="7"/>
  <c r="B13" i="7"/>
  <c r="C15" i="7"/>
  <c r="B9" i="7"/>
  <c r="B7" i="7"/>
  <c r="B11" i="7"/>
  <c r="B15" i="7"/>
  <c r="C9" i="7"/>
  <c r="B6" i="7"/>
  <c r="C10" i="7"/>
  <c r="B10" i="7"/>
  <c r="C12" i="7"/>
  <c r="C7" i="7"/>
  <c r="B14" i="7"/>
  <c r="C8" i="7"/>
  <c r="C14" i="7"/>
  <c r="B12" i="7"/>
  <c r="C5" i="7"/>
  <c r="C6" i="7"/>
  <c r="M79" i="3" l="1"/>
  <c r="M78" i="3"/>
  <c r="M77" i="3"/>
  <c r="M76" i="3"/>
  <c r="M75" i="3"/>
  <c r="M74" i="3"/>
  <c r="M73" i="3"/>
  <c r="M72" i="3"/>
  <c r="M71" i="3"/>
  <c r="M70" i="3"/>
  <c r="M69" i="3"/>
  <c r="M68" i="3"/>
  <c r="U65" i="3"/>
  <c r="M65" i="3"/>
  <c r="M64" i="3"/>
  <c r="M63" i="3"/>
  <c r="U62" i="3"/>
  <c r="M62" i="3"/>
  <c r="M61" i="3"/>
  <c r="U60" i="3"/>
  <c r="U59" i="3"/>
  <c r="M59" i="3"/>
  <c r="U58" i="3"/>
  <c r="U57" i="3"/>
  <c r="U56" i="3"/>
  <c r="U55" i="3"/>
  <c r="U54" i="3"/>
  <c r="M54" i="3"/>
  <c r="M52" i="3"/>
  <c r="U51" i="3"/>
  <c r="M51" i="3"/>
  <c r="M50" i="3"/>
  <c r="M49" i="3"/>
  <c r="M48" i="3"/>
  <c r="U47" i="3"/>
  <c r="U46" i="3"/>
  <c r="U45" i="3"/>
  <c r="U44" i="3"/>
  <c r="U43" i="3"/>
  <c r="U42" i="3"/>
  <c r="U41" i="3"/>
  <c r="M38" i="3"/>
  <c r="M37" i="3"/>
  <c r="M36" i="3"/>
  <c r="M35" i="3"/>
  <c r="M34" i="3"/>
  <c r="M33" i="3"/>
  <c r="M32" i="3"/>
  <c r="M31" i="3"/>
  <c r="M30" i="3"/>
  <c r="M29" i="3"/>
  <c r="M28" i="3"/>
  <c r="M15" i="3"/>
  <c r="M14" i="3"/>
  <c r="M13" i="3"/>
  <c r="M12" i="3"/>
  <c r="M11" i="3"/>
  <c r="M10" i="3"/>
  <c r="M9" i="3"/>
  <c r="M8" i="3"/>
  <c r="M7" i="3"/>
  <c r="M6" i="3"/>
  <c r="M5" i="3"/>
  <c r="M4" i="3"/>
  <c r="H14" i="4"/>
  <c r="V65" i="3" l="1"/>
  <c r="V62" i="3"/>
  <c r="U15" i="3"/>
  <c r="V15" i="3" s="1"/>
  <c r="U16" i="3"/>
  <c r="V16" i="3" s="1"/>
  <c r="U17" i="3"/>
  <c r="V17" i="3" s="1"/>
  <c r="U18" i="3"/>
  <c r="V18" i="3" s="1"/>
  <c r="U19" i="3"/>
  <c r="V19" i="3" s="1"/>
  <c r="U20" i="3"/>
  <c r="V20" i="3" s="1"/>
  <c r="U21" i="3"/>
  <c r="V21" i="3" s="1"/>
  <c r="M41" i="3"/>
  <c r="V41" i="3" s="1"/>
  <c r="U22" i="3"/>
  <c r="V22" i="3" s="1"/>
  <c r="U23" i="3"/>
  <c r="V23" i="3" s="1"/>
  <c r="U29" i="3"/>
  <c r="V29" i="3" s="1"/>
  <c r="U31" i="3"/>
  <c r="V31" i="3" s="1"/>
  <c r="U33" i="3"/>
  <c r="V33" i="3" s="1"/>
  <c r="U35" i="3"/>
  <c r="V35" i="3" s="1"/>
  <c r="U36" i="3"/>
  <c r="V36" i="3" s="1"/>
  <c r="M43" i="3"/>
  <c r="V43" i="3" s="1"/>
  <c r="M45" i="3"/>
  <c r="V45" i="3" s="1"/>
  <c r="M47" i="3"/>
  <c r="V47" i="3" s="1"/>
  <c r="M56" i="3"/>
  <c r="V56" i="3" s="1"/>
  <c r="M58" i="3"/>
  <c r="V58" i="3" s="1"/>
  <c r="M60" i="3"/>
  <c r="V60" i="3" s="1"/>
  <c r="U4" i="3"/>
  <c r="V4" i="3" s="1"/>
  <c r="U48" i="3"/>
  <c r="V48" i="3" s="1"/>
  <c r="U10" i="3"/>
  <c r="V10" i="3" s="1"/>
  <c r="V51" i="3"/>
  <c r="U50" i="3"/>
  <c r="V50" i="3" s="1"/>
  <c r="V52" i="3"/>
  <c r="U70" i="3"/>
  <c r="V70" i="3" s="1"/>
  <c r="U6" i="3"/>
  <c r="V6" i="3" s="1"/>
  <c r="U7" i="3"/>
  <c r="V7" i="3" s="1"/>
  <c r="U8" i="3"/>
  <c r="V8" i="3" s="1"/>
  <c r="U9" i="3"/>
  <c r="V9" i="3" s="1"/>
  <c r="U12" i="3"/>
  <c r="V12" i="3" s="1"/>
  <c r="U61" i="3"/>
  <c r="V61" i="3" s="1"/>
  <c r="U37" i="3"/>
  <c r="V37" i="3" s="1"/>
  <c r="U5" i="3"/>
  <c r="V5" i="3" s="1"/>
  <c r="U13" i="3"/>
  <c r="V13" i="3" s="1"/>
  <c r="U14" i="3"/>
  <c r="V14" i="3" s="1"/>
  <c r="U25" i="3"/>
  <c r="V25" i="3" s="1"/>
  <c r="U28" i="3"/>
  <c r="V28" i="3" s="1"/>
  <c r="M46" i="3"/>
  <c r="V46" i="3" s="1"/>
  <c r="U71" i="3"/>
  <c r="V71" i="3" s="1"/>
  <c r="U72" i="3"/>
  <c r="V72" i="3" s="1"/>
  <c r="U73" i="3"/>
  <c r="V73" i="3" s="1"/>
  <c r="U74" i="3"/>
  <c r="V74" i="3" s="1"/>
  <c r="U75" i="3"/>
  <c r="V75" i="3" s="1"/>
  <c r="U76" i="3"/>
  <c r="V76" i="3" s="1"/>
  <c r="U77" i="3"/>
  <c r="V77" i="3" s="1"/>
  <c r="U78" i="3"/>
  <c r="V78" i="3" s="1"/>
  <c r="M55" i="3"/>
  <c r="V55" i="3" s="1"/>
  <c r="M57" i="3"/>
  <c r="V57" i="3" s="1"/>
  <c r="U69" i="3"/>
  <c r="V69" i="3" s="1"/>
  <c r="U26" i="3"/>
  <c r="V26" i="3" s="1"/>
  <c r="U30" i="3"/>
  <c r="V30" i="3" s="1"/>
  <c r="U32" i="3"/>
  <c r="V32" i="3" s="1"/>
  <c r="U34" i="3"/>
  <c r="V34" i="3" s="1"/>
  <c r="U38" i="3"/>
  <c r="V38" i="3" s="1"/>
  <c r="M42" i="3"/>
  <c r="V42" i="3" s="1"/>
  <c r="V59" i="3"/>
  <c r="U79" i="3"/>
  <c r="V79" i="3" s="1"/>
  <c r="U11" i="3"/>
  <c r="V11" i="3" s="1"/>
  <c r="U24" i="3"/>
  <c r="V24" i="3" s="1"/>
  <c r="U27" i="3"/>
  <c r="V27" i="3" s="1"/>
  <c r="V39" i="3"/>
  <c r="M44" i="3"/>
  <c r="V44" i="3" s="1"/>
  <c r="U49" i="3"/>
  <c r="V49" i="3" s="1"/>
  <c r="V54" i="3"/>
  <c r="U63" i="3"/>
  <c r="V63" i="3" s="1"/>
  <c r="U64" i="3"/>
  <c r="V64" i="3" s="1"/>
  <c r="U68" i="3"/>
  <c r="V68" i="3" s="1"/>
  <c r="S9" i="7" l="1"/>
  <c r="T8" i="7"/>
  <c r="S8" i="7"/>
  <c r="T3" i="7"/>
  <c r="S3" i="7"/>
  <c r="A1" i="7"/>
  <c r="BP185" i="6"/>
  <c r="BO185" i="6"/>
  <c r="BN185" i="6"/>
  <c r="BM185" i="6"/>
  <c r="BL185" i="6"/>
  <c r="BK185" i="6"/>
  <c r="BJ185" i="6"/>
  <c r="BI185" i="6"/>
  <c r="BH185" i="6"/>
  <c r="BG185" i="6"/>
  <c r="BF185" i="6"/>
  <c r="BE185" i="6"/>
  <c r="BA185" i="6"/>
  <c r="AZ185" i="6"/>
  <c r="AY185" i="6"/>
  <c r="AX185" i="6"/>
  <c r="AW185" i="6"/>
  <c r="AV185" i="6"/>
  <c r="AU185" i="6"/>
  <c r="AT185" i="6"/>
  <c r="AS185" i="6"/>
  <c r="AR185" i="6"/>
  <c r="AQ185" i="6"/>
  <c r="AP185" i="6"/>
  <c r="AO185" i="6"/>
  <c r="AN185" i="6"/>
  <c r="AM185" i="6"/>
  <c r="AL185" i="6"/>
  <c r="AK185" i="6"/>
  <c r="AJ185" i="6"/>
  <c r="BP181" i="6"/>
  <c r="BO181" i="6"/>
  <c r="BN181" i="6"/>
  <c r="BM181" i="6"/>
  <c r="BL181" i="6"/>
  <c r="BK181" i="6"/>
  <c r="BJ181" i="6"/>
  <c r="BI181" i="6"/>
  <c r="BH181" i="6"/>
  <c r="BG181" i="6"/>
  <c r="BF181" i="6"/>
  <c r="BE181" i="6"/>
  <c r="BA181" i="6"/>
  <c r="AZ181" i="6"/>
  <c r="AY181" i="6"/>
  <c r="AX181" i="6"/>
  <c r="AW181" i="6"/>
  <c r="AV181" i="6"/>
  <c r="AU181" i="6"/>
  <c r="AT181" i="6"/>
  <c r="AS181" i="6"/>
  <c r="AR181" i="6"/>
  <c r="AQ181" i="6"/>
  <c r="AP181" i="6"/>
  <c r="AO181" i="6"/>
  <c r="AN181" i="6"/>
  <c r="AM181" i="6"/>
  <c r="AL181" i="6"/>
  <c r="AK181" i="6"/>
  <c r="AJ181" i="6"/>
  <c r="BP180" i="6"/>
  <c r="BO180" i="6"/>
  <c r="BN180" i="6"/>
  <c r="BM180" i="6"/>
  <c r="BL180" i="6"/>
  <c r="BK180" i="6"/>
  <c r="BJ180" i="6"/>
  <c r="BI180" i="6"/>
  <c r="BH180" i="6"/>
  <c r="BG180" i="6"/>
  <c r="BF180" i="6"/>
  <c r="BE180" i="6"/>
  <c r="BA180" i="6"/>
  <c r="AZ180" i="6"/>
  <c r="AY180" i="6"/>
  <c r="AX180" i="6"/>
  <c r="AW180" i="6"/>
  <c r="AV180" i="6"/>
  <c r="AU180" i="6"/>
  <c r="AT180" i="6"/>
  <c r="AS180" i="6"/>
  <c r="AR180" i="6"/>
  <c r="AQ180" i="6"/>
  <c r="AP180" i="6"/>
  <c r="AO180" i="6"/>
  <c r="AN180" i="6"/>
  <c r="AM180" i="6"/>
  <c r="AL180" i="6"/>
  <c r="AK180" i="6"/>
  <c r="AJ180" i="6"/>
  <c r="BP179" i="6"/>
  <c r="BO179" i="6"/>
  <c r="BN179" i="6"/>
  <c r="BM179" i="6"/>
  <c r="BL179" i="6"/>
  <c r="BK179" i="6"/>
  <c r="BJ179" i="6"/>
  <c r="BI179" i="6"/>
  <c r="BH179" i="6"/>
  <c r="BG179" i="6"/>
  <c r="BF179" i="6"/>
  <c r="BE179" i="6"/>
  <c r="BA179" i="6"/>
  <c r="AZ179" i="6"/>
  <c r="AY179" i="6"/>
  <c r="AX179" i="6"/>
  <c r="AW179" i="6"/>
  <c r="AV179" i="6"/>
  <c r="AU179" i="6"/>
  <c r="AT179" i="6"/>
  <c r="AS179" i="6"/>
  <c r="AR179" i="6"/>
  <c r="AQ179" i="6"/>
  <c r="AP179" i="6"/>
  <c r="AO179" i="6"/>
  <c r="AN179" i="6"/>
  <c r="AM179" i="6"/>
  <c r="AL179" i="6"/>
  <c r="AK179" i="6"/>
  <c r="AJ179" i="6"/>
  <c r="BP178" i="6"/>
  <c r="BO178" i="6"/>
  <c r="BN178" i="6"/>
  <c r="BM178" i="6"/>
  <c r="BL178" i="6"/>
  <c r="BK178" i="6"/>
  <c r="BJ178" i="6"/>
  <c r="BI178" i="6"/>
  <c r="BH178" i="6"/>
  <c r="BG178" i="6"/>
  <c r="BF178" i="6"/>
  <c r="BE178" i="6"/>
  <c r="BA178" i="6"/>
  <c r="AZ178" i="6"/>
  <c r="AY178" i="6"/>
  <c r="AX178" i="6"/>
  <c r="AW178" i="6"/>
  <c r="AV178" i="6"/>
  <c r="AU178" i="6"/>
  <c r="AT178" i="6"/>
  <c r="AS178" i="6"/>
  <c r="AR178" i="6"/>
  <c r="AQ178" i="6"/>
  <c r="AP178" i="6"/>
  <c r="AO178" i="6"/>
  <c r="AN178" i="6"/>
  <c r="AM178" i="6"/>
  <c r="AL178" i="6"/>
  <c r="AK178" i="6"/>
  <c r="AJ178" i="6"/>
  <c r="BP177" i="6"/>
  <c r="BO177" i="6"/>
  <c r="BN177" i="6"/>
  <c r="BM177" i="6"/>
  <c r="BL177" i="6"/>
  <c r="BK177" i="6"/>
  <c r="BJ177" i="6"/>
  <c r="BI177" i="6"/>
  <c r="BH177" i="6"/>
  <c r="BG177" i="6"/>
  <c r="BF177" i="6"/>
  <c r="BE177" i="6"/>
  <c r="BA177" i="6"/>
  <c r="AZ177" i="6"/>
  <c r="AY177" i="6"/>
  <c r="AX177" i="6"/>
  <c r="AW177" i="6"/>
  <c r="AV177" i="6"/>
  <c r="AU177" i="6"/>
  <c r="AT177" i="6"/>
  <c r="AS177" i="6"/>
  <c r="AR177" i="6"/>
  <c r="AQ177" i="6"/>
  <c r="AP177" i="6"/>
  <c r="AO177" i="6"/>
  <c r="AN177" i="6"/>
  <c r="AM177" i="6"/>
  <c r="AL177" i="6"/>
  <c r="AK177" i="6"/>
  <c r="AJ177" i="6"/>
  <c r="BP174" i="6"/>
  <c r="BO174" i="6"/>
  <c r="BN174" i="6"/>
  <c r="BM174" i="6"/>
  <c r="BL174" i="6"/>
  <c r="BK174" i="6"/>
  <c r="BJ174" i="6"/>
  <c r="BI174" i="6"/>
  <c r="BH174" i="6"/>
  <c r="BG174" i="6"/>
  <c r="BF174" i="6"/>
  <c r="BE174" i="6"/>
  <c r="BA174" i="6"/>
  <c r="AZ174" i="6"/>
  <c r="AY174" i="6"/>
  <c r="AX174" i="6"/>
  <c r="AW174" i="6"/>
  <c r="AV174" i="6"/>
  <c r="AU174" i="6"/>
  <c r="AT174" i="6"/>
  <c r="AS174" i="6"/>
  <c r="AR174" i="6"/>
  <c r="AQ174" i="6"/>
  <c r="AP174" i="6"/>
  <c r="AO174" i="6"/>
  <c r="AN174" i="6"/>
  <c r="AM174" i="6"/>
  <c r="AL174" i="6"/>
  <c r="AK174" i="6"/>
  <c r="AJ174" i="6"/>
  <c r="BP173" i="6"/>
  <c r="BO173" i="6"/>
  <c r="BN173" i="6"/>
  <c r="BM173" i="6"/>
  <c r="BL173" i="6"/>
  <c r="BK173" i="6"/>
  <c r="BJ173" i="6"/>
  <c r="BI173" i="6"/>
  <c r="BH173" i="6"/>
  <c r="BG173" i="6"/>
  <c r="BF173" i="6"/>
  <c r="BE173" i="6"/>
  <c r="BA173" i="6"/>
  <c r="AZ173" i="6"/>
  <c r="AY173" i="6"/>
  <c r="AX173" i="6"/>
  <c r="AW173" i="6"/>
  <c r="AV173" i="6"/>
  <c r="AU173" i="6"/>
  <c r="AT173" i="6"/>
  <c r="AS173" i="6"/>
  <c r="AR173" i="6"/>
  <c r="AQ173" i="6"/>
  <c r="AP173" i="6"/>
  <c r="AO173" i="6"/>
  <c r="AN173" i="6"/>
  <c r="AM173" i="6"/>
  <c r="AL173" i="6"/>
  <c r="AK173" i="6"/>
  <c r="AJ173" i="6"/>
  <c r="BP172" i="6"/>
  <c r="BO172" i="6"/>
  <c r="BN172" i="6"/>
  <c r="BM172" i="6"/>
  <c r="BL172" i="6"/>
  <c r="BK172" i="6"/>
  <c r="BJ172" i="6"/>
  <c r="BI172" i="6"/>
  <c r="BH172" i="6"/>
  <c r="BG172" i="6"/>
  <c r="BF172" i="6"/>
  <c r="BE172" i="6"/>
  <c r="BA172" i="6"/>
  <c r="AZ172" i="6"/>
  <c r="AY172" i="6"/>
  <c r="AX172" i="6"/>
  <c r="AW172" i="6"/>
  <c r="AV172" i="6"/>
  <c r="AU172" i="6"/>
  <c r="AT172" i="6"/>
  <c r="AS172" i="6"/>
  <c r="AR172" i="6"/>
  <c r="AQ172" i="6"/>
  <c r="AP172" i="6"/>
  <c r="AO172" i="6"/>
  <c r="AN172" i="6"/>
  <c r="AM172" i="6"/>
  <c r="AL172" i="6"/>
  <c r="AK172" i="6"/>
  <c r="AJ172" i="6"/>
  <c r="BP170" i="6"/>
  <c r="BO170" i="6"/>
  <c r="BN170" i="6"/>
  <c r="BM170" i="6"/>
  <c r="BL170" i="6"/>
  <c r="BK170" i="6"/>
  <c r="BJ170" i="6"/>
  <c r="BI170" i="6"/>
  <c r="BH170" i="6"/>
  <c r="BG170" i="6"/>
  <c r="BF170" i="6"/>
  <c r="BE170" i="6"/>
  <c r="BA170" i="6"/>
  <c r="AZ170" i="6"/>
  <c r="AY170" i="6"/>
  <c r="AX170" i="6"/>
  <c r="AW170" i="6"/>
  <c r="AV170" i="6"/>
  <c r="AU170" i="6"/>
  <c r="AT170" i="6"/>
  <c r="AS170" i="6"/>
  <c r="AR170" i="6"/>
  <c r="AQ170" i="6"/>
  <c r="AP170" i="6"/>
  <c r="AO170" i="6"/>
  <c r="AN170" i="6"/>
  <c r="AM170" i="6"/>
  <c r="AL170" i="6"/>
  <c r="AK170" i="6"/>
  <c r="AJ170" i="6"/>
  <c r="BP169" i="6"/>
  <c r="BO169" i="6"/>
  <c r="BN169" i="6"/>
  <c r="BM169" i="6"/>
  <c r="BL169" i="6"/>
  <c r="BK169" i="6"/>
  <c r="BJ169" i="6"/>
  <c r="BI169" i="6"/>
  <c r="BH169" i="6"/>
  <c r="BG169" i="6"/>
  <c r="BF169" i="6"/>
  <c r="BE169" i="6"/>
  <c r="BA169" i="6"/>
  <c r="AZ169" i="6"/>
  <c r="AY169" i="6"/>
  <c r="AX169" i="6"/>
  <c r="AW169" i="6"/>
  <c r="AV169" i="6"/>
  <c r="AU169" i="6"/>
  <c r="AT169" i="6"/>
  <c r="AS169" i="6"/>
  <c r="AR169" i="6"/>
  <c r="AQ169" i="6"/>
  <c r="AP169" i="6"/>
  <c r="AO169" i="6"/>
  <c r="AN169" i="6"/>
  <c r="AM169" i="6"/>
  <c r="AL169" i="6"/>
  <c r="AK169" i="6"/>
  <c r="AJ169" i="6"/>
  <c r="BP168" i="6"/>
  <c r="BO168" i="6"/>
  <c r="BN168" i="6"/>
  <c r="BM168" i="6"/>
  <c r="BL168" i="6"/>
  <c r="BK168" i="6"/>
  <c r="BJ168" i="6"/>
  <c r="BI168" i="6"/>
  <c r="BH168" i="6"/>
  <c r="BG168" i="6"/>
  <c r="BF168" i="6"/>
  <c r="BE168" i="6"/>
  <c r="BA168" i="6"/>
  <c r="AZ168" i="6"/>
  <c r="AY168" i="6"/>
  <c r="AX168" i="6"/>
  <c r="AW168" i="6"/>
  <c r="AV168" i="6"/>
  <c r="AU168" i="6"/>
  <c r="AT168" i="6"/>
  <c r="AS168" i="6"/>
  <c r="AR168" i="6"/>
  <c r="AQ168" i="6"/>
  <c r="AP168" i="6"/>
  <c r="AO168" i="6"/>
  <c r="AN168" i="6"/>
  <c r="AM168" i="6"/>
  <c r="AL168" i="6"/>
  <c r="AK168" i="6"/>
  <c r="AJ168" i="6"/>
  <c r="BP165" i="6"/>
  <c r="BO165" i="6"/>
  <c r="BN165" i="6"/>
  <c r="BM165" i="6"/>
  <c r="BL165" i="6"/>
  <c r="BK165" i="6"/>
  <c r="BJ165" i="6"/>
  <c r="BI165" i="6"/>
  <c r="BH165" i="6"/>
  <c r="BG165" i="6"/>
  <c r="BF165" i="6"/>
  <c r="BE165" i="6"/>
  <c r="BA165" i="6"/>
  <c r="AZ165" i="6"/>
  <c r="AY165" i="6"/>
  <c r="AX165" i="6"/>
  <c r="AW165" i="6"/>
  <c r="AV165" i="6"/>
  <c r="AU165" i="6"/>
  <c r="AT165" i="6"/>
  <c r="AS165" i="6"/>
  <c r="AR165" i="6"/>
  <c r="AQ165" i="6"/>
  <c r="AP165" i="6"/>
  <c r="AO165" i="6"/>
  <c r="AN165" i="6"/>
  <c r="AM165" i="6"/>
  <c r="AL165" i="6"/>
  <c r="AK165" i="6"/>
  <c r="AJ165" i="6"/>
  <c r="BQ185" i="6"/>
  <c r="BQ181" i="6"/>
  <c r="BQ180" i="6"/>
  <c r="BB180" i="6"/>
  <c r="BQ179" i="6"/>
  <c r="BB179" i="6"/>
  <c r="BQ178" i="6"/>
  <c r="BB178" i="6"/>
  <c r="BQ177" i="6"/>
  <c r="BQ174" i="6"/>
  <c r="BB174" i="6"/>
  <c r="BQ173" i="6"/>
  <c r="BB173" i="6"/>
  <c r="BQ172" i="6"/>
  <c r="BB172" i="6"/>
  <c r="BQ170" i="6"/>
  <c r="BB170" i="6"/>
  <c r="BQ169" i="6"/>
  <c r="BB169" i="6"/>
  <c r="BQ168" i="6"/>
  <c r="D19" i="4"/>
  <c r="C19" i="4"/>
  <c r="A18" i="4"/>
  <c r="A17" i="4"/>
  <c r="A16" i="4"/>
  <c r="A15" i="4"/>
  <c r="A14" i="4"/>
  <c r="A13" i="4"/>
  <c r="A12" i="4"/>
  <c r="A11" i="4"/>
  <c r="A10" i="4"/>
  <c r="A9" i="4"/>
  <c r="A8" i="4"/>
  <c r="A7" i="4"/>
  <c r="A6" i="4"/>
  <c r="A5" i="4"/>
  <c r="AB2" i="4"/>
  <c r="T174" i="3"/>
  <c r="S174" i="3"/>
  <c r="R174" i="3"/>
  <c r="O174" i="3"/>
  <c r="N174" i="3"/>
  <c r="L174" i="3"/>
  <c r="K174" i="3"/>
  <c r="J174" i="3"/>
  <c r="I174" i="3"/>
  <c r="H174" i="3"/>
  <c r="G174" i="3"/>
  <c r="D174" i="3"/>
  <c r="C174" i="3"/>
  <c r="C172" i="3"/>
  <c r="D172" i="3" s="1"/>
  <c r="E172" i="3" s="1"/>
  <c r="F172" i="3" s="1"/>
  <c r="G172" i="3" s="1"/>
  <c r="H172" i="3" s="1"/>
  <c r="I172" i="3" s="1"/>
  <c r="J172" i="3" s="1"/>
  <c r="K172" i="3" s="1"/>
  <c r="L172" i="3" s="1"/>
  <c r="M172" i="3" s="1"/>
  <c r="N172" i="3" s="1"/>
  <c r="O172" i="3" s="1"/>
  <c r="P172" i="3" s="1"/>
  <c r="Q172" i="3" s="1"/>
  <c r="R172" i="3" s="1"/>
  <c r="S172" i="3" s="1"/>
  <c r="C171" i="3"/>
  <c r="D171" i="3" s="1"/>
  <c r="E171" i="3" s="1"/>
  <c r="F171" i="3" s="1"/>
  <c r="G171" i="3" s="1"/>
  <c r="H171" i="3" s="1"/>
  <c r="I171" i="3" s="1"/>
  <c r="J171" i="3" s="1"/>
  <c r="K171" i="3" s="1"/>
  <c r="L171" i="3" s="1"/>
  <c r="M171" i="3" s="1"/>
  <c r="N171" i="3" s="1"/>
  <c r="O171" i="3" s="1"/>
  <c r="P171" i="3" s="1"/>
  <c r="Q171" i="3" s="1"/>
  <c r="R171" i="3" s="1"/>
  <c r="S171" i="3" s="1"/>
  <c r="C170" i="3"/>
  <c r="D170" i="3" s="1"/>
  <c r="E170" i="3" s="1"/>
  <c r="F170" i="3" s="1"/>
  <c r="G170" i="3" s="1"/>
  <c r="H170" i="3" s="1"/>
  <c r="I170" i="3" s="1"/>
  <c r="J170" i="3" s="1"/>
  <c r="K170" i="3" s="1"/>
  <c r="L170" i="3" s="1"/>
  <c r="M170" i="3" s="1"/>
  <c r="N170" i="3" s="1"/>
  <c r="O170" i="3" s="1"/>
  <c r="P170" i="3" s="1"/>
  <c r="Q170" i="3" s="1"/>
  <c r="R170" i="3" s="1"/>
  <c r="S170" i="3" s="1"/>
  <c r="C169" i="3"/>
  <c r="D169" i="3" s="1"/>
  <c r="E169" i="3" s="1"/>
  <c r="F169" i="3" s="1"/>
  <c r="G169" i="3" s="1"/>
  <c r="H169" i="3" s="1"/>
  <c r="I169" i="3" s="1"/>
  <c r="J169" i="3" s="1"/>
  <c r="K169" i="3" s="1"/>
  <c r="L169" i="3" s="1"/>
  <c r="M169" i="3" s="1"/>
  <c r="N169" i="3" s="1"/>
  <c r="O169" i="3" s="1"/>
  <c r="P169" i="3" s="1"/>
  <c r="Q169" i="3" s="1"/>
  <c r="R169" i="3" s="1"/>
  <c r="S169" i="3" s="1"/>
  <c r="C168" i="3"/>
  <c r="D168" i="3" s="1"/>
  <c r="E168" i="3" s="1"/>
  <c r="F168" i="3" s="1"/>
  <c r="G168" i="3" s="1"/>
  <c r="H168" i="3" s="1"/>
  <c r="I168" i="3" s="1"/>
  <c r="J168" i="3" s="1"/>
  <c r="K168" i="3" s="1"/>
  <c r="L168" i="3" s="1"/>
  <c r="M168" i="3" s="1"/>
  <c r="N168" i="3" s="1"/>
  <c r="O168" i="3" s="1"/>
  <c r="P168" i="3" s="1"/>
  <c r="Q168" i="3" s="1"/>
  <c r="R168" i="3" s="1"/>
  <c r="S168" i="3" s="1"/>
  <c r="U91" i="3"/>
  <c r="M91" i="3"/>
  <c r="U90" i="3"/>
  <c r="M90" i="3"/>
  <c r="U89" i="3"/>
  <c r="M89" i="3"/>
  <c r="U88" i="3"/>
  <c r="M88" i="3"/>
  <c r="U87" i="3"/>
  <c r="M87" i="3"/>
  <c r="U86" i="3"/>
  <c r="M86" i="3"/>
  <c r="U85" i="3"/>
  <c r="M85" i="3"/>
  <c r="U84" i="3"/>
  <c r="M84" i="3"/>
  <c r="U83" i="3"/>
  <c r="M83" i="3"/>
  <c r="U82" i="3"/>
  <c r="M82" i="3"/>
  <c r="U81" i="3"/>
  <c r="M81" i="3"/>
  <c r="U80" i="3"/>
  <c r="M80" i="3"/>
  <c r="A1" i="3"/>
  <c r="L18" i="2"/>
  <c r="K18" i="2"/>
  <c r="J18" i="2"/>
  <c r="I18" i="2"/>
  <c r="H18" i="2"/>
  <c r="G18" i="2"/>
  <c r="F18" i="2"/>
  <c r="E18" i="2"/>
  <c r="D18" i="2"/>
  <c r="C18" i="2"/>
  <c r="C80" i="1"/>
  <c r="D80" i="1" s="1"/>
  <c r="D79" i="1"/>
  <c r="H56" i="1"/>
  <c r="I56" i="1" s="1"/>
  <c r="K56" i="1" s="1"/>
  <c r="I55" i="1"/>
  <c r="K55" i="1" s="1"/>
  <c r="K54" i="1"/>
  <c r="E49" i="1"/>
  <c r="AA39" i="1"/>
  <c r="AA40" i="1" s="1"/>
  <c r="AA41" i="1" s="1"/>
  <c r="AA42" i="1" s="1"/>
  <c r="AA43" i="1" s="1"/>
  <c r="AA44" i="1" s="1"/>
  <c r="AA45" i="1" s="1"/>
  <c r="AA46" i="1" s="1"/>
  <c r="AA47" i="1" s="1"/>
  <c r="AA48" i="1" s="1"/>
  <c r="AA49" i="1" s="1"/>
  <c r="AA50" i="1" s="1"/>
  <c r="AA51" i="1" s="1"/>
  <c r="AA52" i="1" s="1"/>
  <c r="AA53" i="1" s="1"/>
  <c r="AA54" i="1" s="1"/>
  <c r="AA55" i="1" s="1"/>
  <c r="AA56" i="1" s="1"/>
  <c r="AA57" i="1" s="1"/>
  <c r="AB38" i="1"/>
  <c r="AB39" i="1" s="1"/>
  <c r="AB40" i="1" s="1"/>
  <c r="AB41" i="1" s="1"/>
  <c r="AB42" i="1" s="1"/>
  <c r="AB43" i="1" s="1"/>
  <c r="AB44" i="1" s="1"/>
  <c r="AB45" i="1" s="1"/>
  <c r="AB46" i="1" s="1"/>
  <c r="AB47" i="1" s="1"/>
  <c r="AB48" i="1" s="1"/>
  <c r="AB49" i="1" s="1"/>
  <c r="AB50" i="1" s="1"/>
  <c r="AB51" i="1" s="1"/>
  <c r="AB52" i="1" s="1"/>
  <c r="AB53" i="1" s="1"/>
  <c r="AB54" i="1" s="1"/>
  <c r="AB55" i="1" s="1"/>
  <c r="AB56" i="1" s="1"/>
  <c r="AB57" i="1" s="1"/>
  <c r="BL19" i="1"/>
  <c r="BK19" i="1"/>
  <c r="BJ19" i="1"/>
  <c r="BI19" i="1"/>
  <c r="BH19" i="1"/>
  <c r="BG19" i="1"/>
  <c r="CL17" i="1"/>
  <c r="CK17" i="1"/>
  <c r="CJ17" i="1"/>
  <c r="CG17" i="1"/>
  <c r="BE17" i="1"/>
  <c r="BD17" i="1"/>
  <c r="AD17" i="1"/>
  <c r="AB17" i="1"/>
  <c r="CC15" i="1"/>
  <c r="CH15" i="1"/>
  <c r="CI15" i="1" s="1"/>
  <c r="BZ15" i="1"/>
  <c r="BT15" i="1"/>
  <c r="BF15" i="1"/>
  <c r="A15" i="1"/>
  <c r="CC14" i="1"/>
  <c r="AX14" i="1"/>
  <c r="AX17" i="1" s="1"/>
  <c r="AP14" i="1"/>
  <c r="AP17" i="1" s="1"/>
  <c r="N14" i="1"/>
  <c r="K14" i="1"/>
  <c r="L14" i="1" s="1"/>
  <c r="M14" i="1" s="1"/>
  <c r="A14" i="1"/>
  <c r="BT13" i="1"/>
  <c r="BF13" i="1"/>
  <c r="N13" i="1"/>
  <c r="K13" i="1"/>
  <c r="L13" i="1" s="1"/>
  <c r="M13" i="1" s="1"/>
  <c r="A13" i="1"/>
  <c r="BT12" i="1"/>
  <c r="BF12" i="1"/>
  <c r="AW12" i="1"/>
  <c r="A12" i="1"/>
  <c r="BT11" i="1"/>
  <c r="BF11" i="1"/>
  <c r="AW11" i="1"/>
  <c r="A11" i="1"/>
  <c r="BT10" i="1"/>
  <c r="BF10" i="1"/>
  <c r="J10" i="1"/>
  <c r="A10" i="1"/>
  <c r="BT9" i="1"/>
  <c r="BY9" i="1"/>
  <c r="BF9" i="1"/>
  <c r="AW9" i="1"/>
  <c r="J9" i="1"/>
  <c r="A9" i="1"/>
  <c r="BT8" i="1"/>
  <c r="BF8" i="1"/>
  <c r="AW8" i="1"/>
  <c r="J8" i="1"/>
  <c r="A8" i="1"/>
  <c r="BT7" i="1"/>
  <c r="BF7" i="1"/>
  <c r="AW7" i="1"/>
  <c r="A7" i="1"/>
  <c r="BT6" i="1"/>
  <c r="BW6" i="1"/>
  <c r="BF6" i="1"/>
  <c r="AW6" i="1"/>
  <c r="A6" i="1"/>
  <c r="BT5" i="1"/>
  <c r="BF5" i="1"/>
  <c r="A5" i="1"/>
  <c r="BT4" i="1"/>
  <c r="BG4" i="1"/>
  <c r="BF4" i="1"/>
  <c r="AT4" i="1"/>
  <c r="AT17" i="1" s="1"/>
  <c r="J4" i="1"/>
  <c r="A4" i="1"/>
  <c r="BY2" i="1"/>
  <c r="BX2" i="1"/>
  <c r="BW2" i="1"/>
  <c r="BK2" i="1"/>
  <c r="K2" i="1"/>
  <c r="B2" i="23" s="1"/>
  <c r="I2" i="1"/>
  <c r="AG1" i="1"/>
  <c r="AG4" i="1" s="1"/>
  <c r="AF1" i="1"/>
  <c r="J1" i="1"/>
  <c r="J2" i="1" s="1"/>
  <c r="I1" i="1"/>
  <c r="U18" i="4"/>
  <c r="Q18" i="4"/>
  <c r="J18" i="4"/>
  <c r="F18" i="4"/>
  <c r="Z18" i="4"/>
  <c r="T18" i="4"/>
  <c r="P18" i="4"/>
  <c r="I18" i="4"/>
  <c r="E18" i="4"/>
  <c r="V18" i="4"/>
  <c r="R18" i="4"/>
  <c r="G18" i="4"/>
  <c r="X18" i="4"/>
  <c r="S18" i="4"/>
  <c r="M18" i="4"/>
  <c r="H18" i="4"/>
  <c r="D18" i="4"/>
  <c r="K18" i="4"/>
  <c r="L18" i="4"/>
  <c r="C18" i="4"/>
  <c r="K16" i="2"/>
  <c r="H17" i="4"/>
  <c r="Q17" i="4"/>
  <c r="X17" i="4"/>
  <c r="F17" i="4"/>
  <c r="E16" i="2"/>
  <c r="D16" i="2"/>
  <c r="J16" i="2"/>
  <c r="M17" i="4"/>
  <c r="R17" i="4"/>
  <c r="D17" i="4"/>
  <c r="I16" i="2"/>
  <c r="T17" i="4"/>
  <c r="P17" i="4"/>
  <c r="C17" i="4"/>
  <c r="H16" i="2"/>
  <c r="L16" i="2"/>
  <c r="E17" i="4"/>
  <c r="I17" i="4"/>
  <c r="L17" i="4"/>
  <c r="V17" i="4"/>
  <c r="S17" i="4"/>
  <c r="Z17" i="4"/>
  <c r="K17" i="4"/>
  <c r="J17" i="4"/>
  <c r="G17" i="4"/>
  <c r="G16" i="2"/>
  <c r="F16" i="2"/>
  <c r="U17" i="4"/>
  <c r="H5" i="7"/>
  <c r="D10" i="7"/>
  <c r="E5" i="7"/>
  <c r="P6" i="2"/>
  <c r="P11" i="2"/>
  <c r="D9" i="2"/>
  <c r="N15" i="7"/>
  <c r="N14" i="7"/>
  <c r="P4" i="2"/>
  <c r="E24" i="23"/>
  <c r="E10" i="7"/>
  <c r="P12" i="2"/>
  <c r="N10" i="7"/>
  <c r="P5" i="2"/>
  <c r="P10" i="2"/>
  <c r="D5" i="7"/>
  <c r="J5" i="7"/>
  <c r="O10" i="2"/>
  <c r="H10" i="7"/>
  <c r="G7" i="2"/>
  <c r="N5" i="7"/>
  <c r="AW17" i="1" l="1"/>
  <c r="BG17" i="1"/>
  <c r="N4" i="1"/>
  <c r="O4" i="1" s="1"/>
  <c r="P4" i="1" s="1"/>
  <c r="M9" i="2"/>
  <c r="V9" i="2" s="1"/>
  <c r="BW5" i="1"/>
  <c r="P17" i="2"/>
  <c r="BW11" i="1"/>
  <c r="BW10" i="1"/>
  <c r="BW12" i="1"/>
  <c r="V91" i="3"/>
  <c r="BW13" i="1"/>
  <c r="CF15" i="1"/>
  <c r="BQ15" i="1"/>
  <c r="BM20" i="1"/>
  <c r="BM22" i="1" s="1"/>
  <c r="BB15" i="1"/>
  <c r="V90" i="3"/>
  <c r="V86" i="3"/>
  <c r="V81" i="3"/>
  <c r="V84" i="3"/>
  <c r="V80" i="3"/>
  <c r="BR181" i="6"/>
  <c r="BR173" i="6"/>
  <c r="AM186" i="6"/>
  <c r="AM187" i="6" s="1"/>
  <c r="AQ186" i="6"/>
  <c r="AQ187" i="6" s="1"/>
  <c r="AU186" i="6"/>
  <c r="AU187" i="6" s="1"/>
  <c r="AY186" i="6"/>
  <c r="AY187" i="6" s="1"/>
  <c r="BH186" i="6"/>
  <c r="BH187" i="6" s="1"/>
  <c r="BL186" i="6"/>
  <c r="BL187" i="6" s="1"/>
  <c r="BP186" i="6"/>
  <c r="BP187" i="6" s="1"/>
  <c r="AN186" i="6"/>
  <c r="AN187" i="6" s="1"/>
  <c r="AZ186" i="6"/>
  <c r="AZ187" i="6" s="1"/>
  <c r="BB185" i="6"/>
  <c r="BR185" i="6"/>
  <c r="AR186" i="6"/>
  <c r="AR187" i="6" s="1"/>
  <c r="BE186" i="6"/>
  <c r="BE187" i="6" s="1"/>
  <c r="BM186" i="6"/>
  <c r="BM187" i="6" s="1"/>
  <c r="E50" i="1"/>
  <c r="E51" i="1" s="1"/>
  <c r="F48" i="1"/>
  <c r="BR179" i="6"/>
  <c r="V83" i="3"/>
  <c r="V85" i="3"/>
  <c r="AJ186" i="6"/>
  <c r="AJ187" i="6" s="1"/>
  <c r="AV186" i="6"/>
  <c r="AV187" i="6" s="1"/>
  <c r="BI186" i="6"/>
  <c r="BI187" i="6" s="1"/>
  <c r="BB168" i="6"/>
  <c r="BR168" i="6"/>
  <c r="AO186" i="6"/>
  <c r="AO187" i="6" s="1"/>
  <c r="AW186" i="6"/>
  <c r="AW187" i="6" s="1"/>
  <c r="BJ186" i="6"/>
  <c r="BJ187" i="6" s="1"/>
  <c r="BZ17" i="1"/>
  <c r="BJ20" i="1" s="1"/>
  <c r="V87" i="3"/>
  <c r="V89" i="3"/>
  <c r="AK186" i="6"/>
  <c r="AK187" i="6" s="1"/>
  <c r="AS186" i="6"/>
  <c r="AS187" i="6" s="1"/>
  <c r="BA186" i="6"/>
  <c r="BA187" i="6" s="1"/>
  <c r="BF186" i="6"/>
  <c r="BF187" i="6" s="1"/>
  <c r="BN186" i="6"/>
  <c r="BN187" i="6" s="1"/>
  <c r="C81" i="1"/>
  <c r="D81" i="1" s="1"/>
  <c r="V82" i="3"/>
  <c r="BQ186" i="6"/>
  <c r="BF17" i="1"/>
  <c r="V88" i="3"/>
  <c r="BR177" i="6"/>
  <c r="BG186" i="6"/>
  <c r="BG187" i="6" s="1"/>
  <c r="BK186" i="6"/>
  <c r="BK187" i="6" s="1"/>
  <c r="BO186" i="6"/>
  <c r="BO187" i="6" s="1"/>
  <c r="AL186" i="6"/>
  <c r="AL187" i="6" s="1"/>
  <c r="AP186" i="6"/>
  <c r="AP187" i="6" s="1"/>
  <c r="AT186" i="6"/>
  <c r="AT187" i="6" s="1"/>
  <c r="AX186" i="6"/>
  <c r="AX187" i="6" s="1"/>
  <c r="BQ165" i="6"/>
  <c r="BB177" i="6"/>
  <c r="BB181" i="6"/>
  <c r="BR172" i="6"/>
  <c r="BR178" i="6"/>
  <c r="BB165" i="6"/>
  <c r="BR170" i="6"/>
  <c r="BR169" i="6"/>
  <c r="BR174" i="6"/>
  <c r="BR180" i="6"/>
  <c r="N17" i="4"/>
  <c r="O17" i="4" s="1"/>
  <c r="AA17" i="4"/>
  <c r="N18" i="4"/>
  <c r="M18" i="2"/>
  <c r="U171" i="3"/>
  <c r="V171" i="3" s="1"/>
  <c r="T171" i="3"/>
  <c r="U168" i="3"/>
  <c r="V168" i="3" s="1"/>
  <c r="T168" i="3"/>
  <c r="U169" i="3"/>
  <c r="V169" i="3" s="1"/>
  <c r="T169" i="3"/>
  <c r="U172" i="3"/>
  <c r="V172" i="3" s="1"/>
  <c r="T172" i="3"/>
  <c r="T170" i="3"/>
  <c r="U170" i="3"/>
  <c r="V170" i="3" s="1"/>
  <c r="U16" i="2"/>
  <c r="M16" i="2"/>
  <c r="U18" i="2"/>
  <c r="K4" i="1"/>
  <c r="L4" i="1" s="1"/>
  <c r="M4" i="1" s="1"/>
  <c r="K10" i="1"/>
  <c r="L10" i="1" s="1"/>
  <c r="M10" i="1" s="1"/>
  <c r="K12" i="1"/>
  <c r="L12" i="1" s="1"/>
  <c r="M12" i="1" s="1"/>
  <c r="K11" i="1"/>
  <c r="L11" i="1" s="1"/>
  <c r="M11" i="1" s="1"/>
  <c r="K8" i="1"/>
  <c r="L8" i="1" s="1"/>
  <c r="M8" i="1" s="1"/>
  <c r="K6" i="1"/>
  <c r="L6" i="1" s="1"/>
  <c r="M6" i="1" s="1"/>
  <c r="K5" i="1"/>
  <c r="L5" i="1" s="1"/>
  <c r="M5" i="1" s="1"/>
  <c r="K9" i="1"/>
  <c r="L9" i="1" s="1"/>
  <c r="M9" i="1" s="1"/>
  <c r="K7" i="1"/>
  <c r="L7" i="1" s="1"/>
  <c r="M7" i="1" s="1"/>
  <c r="AG14" i="1"/>
  <c r="AF14" i="1" s="1"/>
  <c r="AJ14" i="1" s="1"/>
  <c r="AG11" i="1"/>
  <c r="AV11" i="1" s="1"/>
  <c r="AG6" i="1"/>
  <c r="AF6" i="1" s="1"/>
  <c r="AG13" i="1"/>
  <c r="AG12" i="1"/>
  <c r="AV12" i="1" s="1"/>
  <c r="AG8" i="1"/>
  <c r="CA2" i="1"/>
  <c r="BQ4" i="1"/>
  <c r="AG5" i="1"/>
  <c r="AG10" i="1"/>
  <c r="AG15" i="1"/>
  <c r="AF15" i="1" s="1"/>
  <c r="N11" i="1"/>
  <c r="N9" i="1"/>
  <c r="N8" i="1"/>
  <c r="N7" i="1"/>
  <c r="N6" i="1"/>
  <c r="N12" i="1"/>
  <c r="BQ5" i="1"/>
  <c r="AG7" i="1"/>
  <c r="AG9" i="1"/>
  <c r="BQ9" i="1"/>
  <c r="O13" i="1"/>
  <c r="P13" i="1" s="1"/>
  <c r="AF4" i="1"/>
  <c r="BW4" i="1"/>
  <c r="N5" i="1"/>
  <c r="N10" i="1"/>
  <c r="O14" i="1"/>
  <c r="P14" i="1" s="1"/>
  <c r="CC17" i="1"/>
  <c r="BL20" i="1" s="1"/>
  <c r="H57" i="1"/>
  <c r="O13" i="2"/>
  <c r="Q5" i="2"/>
  <c r="Q13" i="2"/>
  <c r="E8" i="2"/>
  <c r="Q11" i="2"/>
  <c r="Q7" i="2"/>
  <c r="Q6" i="2"/>
  <c r="Q10" i="2"/>
  <c r="C13" i="2"/>
  <c r="Q4" i="2"/>
  <c r="BJ21" i="1" l="1"/>
  <c r="C82" i="1"/>
  <c r="M8" i="2"/>
  <c r="V8" i="2" s="1"/>
  <c r="AF5" i="1"/>
  <c r="AV5" i="1" s="1"/>
  <c r="AV6" i="1"/>
  <c r="AU10" i="1"/>
  <c r="AV10" i="1"/>
  <c r="AJ9" i="1"/>
  <c r="AV9" i="1"/>
  <c r="AU9" i="1"/>
  <c r="AV8" i="1"/>
  <c r="AU8" i="1"/>
  <c r="AJ4" i="1"/>
  <c r="AV4" i="1"/>
  <c r="AU7" i="1"/>
  <c r="AV7" i="1"/>
  <c r="F49" i="1"/>
  <c r="Q17" i="2"/>
  <c r="BQ10" i="1"/>
  <c r="AJ7" i="1"/>
  <c r="AJ10" i="1"/>
  <c r="AJ8" i="1"/>
  <c r="O17" i="2"/>
  <c r="AJ11" i="1"/>
  <c r="AJ12" i="1"/>
  <c r="BR15" i="1"/>
  <c r="BR186" i="6"/>
  <c r="BB186" i="6"/>
  <c r="BB187" i="6" s="1"/>
  <c r="BQ13" i="1"/>
  <c r="BQ187" i="6"/>
  <c r="BQ7" i="1"/>
  <c r="BQ11" i="1"/>
  <c r="BX17" i="1"/>
  <c r="BH20" i="1" s="1"/>
  <c r="BR165" i="6"/>
  <c r="V18" i="2"/>
  <c r="V16" i="2"/>
  <c r="O5" i="1"/>
  <c r="P5" i="1" s="1"/>
  <c r="O8" i="1"/>
  <c r="P8" i="1" s="1"/>
  <c r="CH12" i="1"/>
  <c r="CI12" i="1" s="1"/>
  <c r="CH6" i="1"/>
  <c r="CI6" i="1" s="1"/>
  <c r="BQ6" i="1"/>
  <c r="AU6" i="1"/>
  <c r="D82" i="1"/>
  <c r="C83" i="1"/>
  <c r="O10" i="1"/>
  <c r="P10" i="1" s="1"/>
  <c r="T14" i="1"/>
  <c r="AO14" i="1" s="1"/>
  <c r="O12" i="1"/>
  <c r="P12" i="1" s="1"/>
  <c r="O9" i="1"/>
  <c r="P9" i="1" s="1"/>
  <c r="BQ12" i="1"/>
  <c r="I57" i="1"/>
  <c r="K57" i="1" s="1"/>
  <c r="H58" i="1"/>
  <c r="F50" i="1"/>
  <c r="E52" i="1"/>
  <c r="V14" i="1"/>
  <c r="U14" i="1"/>
  <c r="BW17" i="1"/>
  <c r="BG20" i="1" s="1"/>
  <c r="CF4" i="1"/>
  <c r="U13" i="1"/>
  <c r="V13" i="1"/>
  <c r="O6" i="1"/>
  <c r="P6" i="1" s="1"/>
  <c r="O11" i="1"/>
  <c r="P11" i="1" s="1"/>
  <c r="CH14" i="1"/>
  <c r="CI14" i="1" s="1"/>
  <c r="CH8" i="1"/>
  <c r="CI8" i="1" s="1"/>
  <c r="BQ8" i="1"/>
  <c r="T4" i="1"/>
  <c r="CH13" i="1"/>
  <c r="CI13" i="1" s="1"/>
  <c r="CH4" i="1"/>
  <c r="O7" i="1"/>
  <c r="P7" i="1" s="1"/>
  <c r="T13" i="1"/>
  <c r="AO13" i="1" s="1"/>
  <c r="V4" i="1"/>
  <c r="U4" i="1"/>
  <c r="BQ14" i="1"/>
  <c r="AB17" i="4"/>
  <c r="J10" i="7"/>
  <c r="E17" i="23"/>
  <c r="E13" i="23"/>
  <c r="F14" i="4"/>
  <c r="F15" i="4"/>
  <c r="E11" i="23"/>
  <c r="AJ5" i="1" l="1"/>
  <c r="BQ17" i="1"/>
  <c r="BB13" i="1"/>
  <c r="BR13" i="1" s="1"/>
  <c r="AU17" i="1"/>
  <c r="AV17" i="1"/>
  <c r="BP19" i="1"/>
  <c r="CA18" i="1"/>
  <c r="CC18" i="1" s="1"/>
  <c r="AJ6" i="1"/>
  <c r="BB4" i="1"/>
  <c r="BR187" i="6"/>
  <c r="CF8" i="1"/>
  <c r="BH24" i="1"/>
  <c r="CA20" i="1" s="1"/>
  <c r="M116" i="3"/>
  <c r="E174" i="3"/>
  <c r="F174" i="3"/>
  <c r="BB14" i="1"/>
  <c r="BR14" i="1" s="1"/>
  <c r="CF11" i="1"/>
  <c r="CF9" i="1"/>
  <c r="CF13" i="1"/>
  <c r="CH10" i="1"/>
  <c r="CI10" i="1" s="1"/>
  <c r="CH9" i="1"/>
  <c r="CI9" i="1" s="1"/>
  <c r="CF14" i="1"/>
  <c r="T6" i="1"/>
  <c r="AO6" i="1" s="1"/>
  <c r="CF5" i="1"/>
  <c r="BY17" i="1"/>
  <c r="BI20" i="1" s="1"/>
  <c r="BH21" i="1" s="1"/>
  <c r="T12" i="1"/>
  <c r="AO12" i="1" s="1"/>
  <c r="CF6" i="1"/>
  <c r="CF12" i="1"/>
  <c r="CI4" i="1"/>
  <c r="F51" i="1"/>
  <c r="E53" i="1"/>
  <c r="V10" i="1"/>
  <c r="U10" i="1"/>
  <c r="CF10" i="1"/>
  <c r="U11" i="1"/>
  <c r="V11" i="1"/>
  <c r="CH7" i="1"/>
  <c r="V12" i="1"/>
  <c r="U12" i="1"/>
  <c r="T10" i="1"/>
  <c r="AO10" i="1" s="1"/>
  <c r="BB10" i="1" s="1"/>
  <c r="U8" i="1"/>
  <c r="V8" i="1"/>
  <c r="V5" i="1"/>
  <c r="U5" i="1"/>
  <c r="CH5" i="1"/>
  <c r="CI5" i="1" s="1"/>
  <c r="U7" i="1"/>
  <c r="V7" i="1"/>
  <c r="T11" i="1"/>
  <c r="AO11" i="1" s="1"/>
  <c r="U9" i="1"/>
  <c r="V9" i="1"/>
  <c r="C84" i="1"/>
  <c r="D83" i="1"/>
  <c r="T8" i="1"/>
  <c r="AO8" i="1" s="1"/>
  <c r="BB8" i="1" s="1"/>
  <c r="T5" i="1"/>
  <c r="AO5" i="1" s="1"/>
  <c r="T7" i="1"/>
  <c r="U6" i="1"/>
  <c r="V6" i="1"/>
  <c r="H59" i="1"/>
  <c r="I58" i="1"/>
  <c r="K58" i="1" s="1"/>
  <c r="CH11" i="1"/>
  <c r="CI11" i="1" s="1"/>
  <c r="T9" i="1"/>
  <c r="AO9" i="1" s="1"/>
  <c r="BB9" i="1" s="1"/>
  <c r="F13" i="4"/>
  <c r="F12" i="4"/>
  <c r="AJ17" i="1" l="1"/>
  <c r="AO7" i="1"/>
  <c r="C6" i="23"/>
  <c r="BB5" i="1"/>
  <c r="BR5" i="1" s="1"/>
  <c r="BB6" i="1"/>
  <c r="BR6" i="1" s="1"/>
  <c r="BI21" i="1"/>
  <c r="BK21" i="1" s="1"/>
  <c r="CI7" i="1"/>
  <c r="CI17" i="1" s="1"/>
  <c r="CH17" i="1"/>
  <c r="M174" i="3"/>
  <c r="Q174" i="3"/>
  <c r="CF17" i="1"/>
  <c r="BM21" i="1"/>
  <c r="H60" i="1"/>
  <c r="I59" i="1"/>
  <c r="K59" i="1" s="1"/>
  <c r="F52" i="1"/>
  <c r="E54" i="1"/>
  <c r="BB11" i="1"/>
  <c r="BR11" i="1" s="1"/>
  <c r="D84" i="1"/>
  <c r="C85" i="1"/>
  <c r="BB12" i="1"/>
  <c r="BR12" i="1" s="1"/>
  <c r="BI24" i="1"/>
  <c r="BR10" i="1"/>
  <c r="BR4" i="1"/>
  <c r="E12" i="23"/>
  <c r="G40" i="23"/>
  <c r="E28" i="23" l="1"/>
  <c r="G29" i="23" s="1"/>
  <c r="BB7" i="1"/>
  <c r="BB17" i="1" s="1"/>
  <c r="AO17" i="1"/>
  <c r="U116" i="3"/>
  <c r="V116" i="3" s="1"/>
  <c r="P174" i="3"/>
  <c r="C165" i="3"/>
  <c r="D165" i="3" s="1"/>
  <c r="E165" i="3" s="1"/>
  <c r="F165" i="3" s="1"/>
  <c r="G165" i="3" s="1"/>
  <c r="H165" i="3" s="1"/>
  <c r="I165" i="3" s="1"/>
  <c r="J165" i="3" s="1"/>
  <c r="K165" i="3" s="1"/>
  <c r="L165" i="3" s="1"/>
  <c r="M165" i="3" s="1"/>
  <c r="N165" i="3" s="1"/>
  <c r="O165" i="3" s="1"/>
  <c r="P165" i="3" s="1"/>
  <c r="Q165" i="3" s="1"/>
  <c r="R165" i="3" s="1"/>
  <c r="S165" i="3" s="1"/>
  <c r="U174" i="3"/>
  <c r="C166" i="3"/>
  <c r="D166" i="3" s="1"/>
  <c r="E166" i="3" s="1"/>
  <c r="F166" i="3" s="1"/>
  <c r="G166" i="3" s="1"/>
  <c r="H166" i="3" s="1"/>
  <c r="I166" i="3" s="1"/>
  <c r="J166" i="3" s="1"/>
  <c r="K166" i="3" s="1"/>
  <c r="L166" i="3" s="1"/>
  <c r="M166" i="3" s="1"/>
  <c r="N166" i="3" s="1"/>
  <c r="O166" i="3" s="1"/>
  <c r="P166" i="3" s="1"/>
  <c r="Q166" i="3" s="1"/>
  <c r="R166" i="3" s="1"/>
  <c r="S166" i="3" s="1"/>
  <c r="C155" i="3"/>
  <c r="BR7" i="1"/>
  <c r="CB20" i="1"/>
  <c r="CC20" i="1" s="1"/>
  <c r="BJ24" i="1"/>
  <c r="C86" i="1"/>
  <c r="D85" i="1"/>
  <c r="H61" i="1"/>
  <c r="I60" i="1"/>
  <c r="K60" i="1" s="1"/>
  <c r="E55" i="1"/>
  <c r="F53" i="1"/>
  <c r="C157" i="3" l="1"/>
  <c r="D157" i="3" s="1"/>
  <c r="E157" i="3" s="1"/>
  <c r="F157" i="3" s="1"/>
  <c r="G157" i="3" s="1"/>
  <c r="H157" i="3" s="1"/>
  <c r="I157" i="3" s="1"/>
  <c r="J157" i="3" s="1"/>
  <c r="K157" i="3" s="1"/>
  <c r="L157" i="3" s="1"/>
  <c r="M157" i="3" s="1"/>
  <c r="N157" i="3" s="1"/>
  <c r="O157" i="3" s="1"/>
  <c r="P157" i="3" s="1"/>
  <c r="Q157" i="3" s="1"/>
  <c r="R157" i="3" s="1"/>
  <c r="S157" i="3" s="1"/>
  <c r="U157" i="3" s="1"/>
  <c r="V157" i="3" s="1"/>
  <c r="C160" i="3"/>
  <c r="D160" i="3" s="1"/>
  <c r="E160" i="3" s="1"/>
  <c r="F160" i="3" s="1"/>
  <c r="G160" i="3" s="1"/>
  <c r="H160" i="3" s="1"/>
  <c r="I160" i="3" s="1"/>
  <c r="J160" i="3" s="1"/>
  <c r="K160" i="3" s="1"/>
  <c r="L160" i="3" s="1"/>
  <c r="M160" i="3" s="1"/>
  <c r="N160" i="3" s="1"/>
  <c r="O160" i="3" s="1"/>
  <c r="P160" i="3" s="1"/>
  <c r="Q160" i="3" s="1"/>
  <c r="R160" i="3" s="1"/>
  <c r="S160" i="3" s="1"/>
  <c r="U160" i="3" s="1"/>
  <c r="V160" i="3" s="1"/>
  <c r="C156" i="3"/>
  <c r="D156" i="3" s="1"/>
  <c r="E156" i="3" s="1"/>
  <c r="F156" i="3" s="1"/>
  <c r="G156" i="3" s="1"/>
  <c r="H156" i="3" s="1"/>
  <c r="I156" i="3" s="1"/>
  <c r="J156" i="3" s="1"/>
  <c r="K156" i="3" s="1"/>
  <c r="L156" i="3" s="1"/>
  <c r="M156" i="3" s="1"/>
  <c r="N156" i="3" s="1"/>
  <c r="O156" i="3" s="1"/>
  <c r="P156" i="3" s="1"/>
  <c r="Q156" i="3" s="1"/>
  <c r="R156" i="3" s="1"/>
  <c r="S156" i="3" s="1"/>
  <c r="U156" i="3" s="1"/>
  <c r="V156" i="3" s="1"/>
  <c r="C159" i="3"/>
  <c r="D159" i="3" s="1"/>
  <c r="E159" i="3" s="1"/>
  <c r="F159" i="3" s="1"/>
  <c r="G159" i="3" s="1"/>
  <c r="H159" i="3" s="1"/>
  <c r="I159" i="3" s="1"/>
  <c r="J159" i="3" s="1"/>
  <c r="K159" i="3" s="1"/>
  <c r="L159" i="3" s="1"/>
  <c r="M159" i="3" s="1"/>
  <c r="N159" i="3" s="1"/>
  <c r="O159" i="3" s="1"/>
  <c r="P159" i="3" s="1"/>
  <c r="Q159" i="3" s="1"/>
  <c r="R159" i="3" s="1"/>
  <c r="S159" i="3" s="1"/>
  <c r="T159" i="3" s="1"/>
  <c r="C163" i="3"/>
  <c r="D163" i="3" s="1"/>
  <c r="E163" i="3" s="1"/>
  <c r="F163" i="3" s="1"/>
  <c r="G163" i="3" s="1"/>
  <c r="H163" i="3" s="1"/>
  <c r="I163" i="3" s="1"/>
  <c r="J163" i="3" s="1"/>
  <c r="K163" i="3" s="1"/>
  <c r="L163" i="3" s="1"/>
  <c r="M163" i="3" s="1"/>
  <c r="N163" i="3" s="1"/>
  <c r="O163" i="3" s="1"/>
  <c r="P163" i="3" s="1"/>
  <c r="Q163" i="3" s="1"/>
  <c r="R163" i="3" s="1"/>
  <c r="S163" i="3" s="1"/>
  <c r="T163" i="3" s="1"/>
  <c r="C164" i="3"/>
  <c r="D164" i="3" s="1"/>
  <c r="E164" i="3" s="1"/>
  <c r="F164" i="3" s="1"/>
  <c r="G164" i="3" s="1"/>
  <c r="H164" i="3" s="1"/>
  <c r="I164" i="3" s="1"/>
  <c r="J164" i="3" s="1"/>
  <c r="K164" i="3" s="1"/>
  <c r="L164" i="3" s="1"/>
  <c r="M164" i="3" s="1"/>
  <c r="N164" i="3" s="1"/>
  <c r="O164" i="3" s="1"/>
  <c r="P164" i="3" s="1"/>
  <c r="Q164" i="3" s="1"/>
  <c r="R164" i="3" s="1"/>
  <c r="S164" i="3" s="1"/>
  <c r="U164" i="3" s="1"/>
  <c r="V164" i="3" s="1"/>
  <c r="C158" i="3"/>
  <c r="D158" i="3" s="1"/>
  <c r="E158" i="3" s="1"/>
  <c r="F158" i="3" s="1"/>
  <c r="G158" i="3" s="1"/>
  <c r="H158" i="3" s="1"/>
  <c r="I158" i="3" s="1"/>
  <c r="J158" i="3" s="1"/>
  <c r="K158" i="3" s="1"/>
  <c r="L158" i="3" s="1"/>
  <c r="M158" i="3" s="1"/>
  <c r="N158" i="3" s="1"/>
  <c r="O158" i="3" s="1"/>
  <c r="P158" i="3" s="1"/>
  <c r="Q158" i="3" s="1"/>
  <c r="R158" i="3" s="1"/>
  <c r="S158" i="3" s="1"/>
  <c r="U158" i="3" s="1"/>
  <c r="V158" i="3" s="1"/>
  <c r="U4" i="2"/>
  <c r="U6" i="2"/>
  <c r="U7" i="2"/>
  <c r="U13" i="2"/>
  <c r="R19" i="2"/>
  <c r="U10" i="2"/>
  <c r="U5" i="2"/>
  <c r="Q19" i="2"/>
  <c r="U11" i="2"/>
  <c r="P19" i="2"/>
  <c r="U12" i="2"/>
  <c r="O19" i="2"/>
  <c r="S19" i="2"/>
  <c r="T19" i="2"/>
  <c r="U14" i="2"/>
  <c r="U15" i="2"/>
  <c r="X15" i="2"/>
  <c r="D155" i="3"/>
  <c r="T165" i="3"/>
  <c r="U165" i="3"/>
  <c r="V165" i="3" s="1"/>
  <c r="T166" i="3"/>
  <c r="U166" i="3"/>
  <c r="V166" i="3" s="1"/>
  <c r="V174" i="3"/>
  <c r="C162" i="3"/>
  <c r="D162" i="3" s="1"/>
  <c r="E162" i="3" s="1"/>
  <c r="F162" i="3" s="1"/>
  <c r="G162" i="3" s="1"/>
  <c r="H162" i="3" s="1"/>
  <c r="I162" i="3" s="1"/>
  <c r="J162" i="3" s="1"/>
  <c r="K162" i="3" s="1"/>
  <c r="L162" i="3" s="1"/>
  <c r="M162" i="3" s="1"/>
  <c r="N162" i="3" s="1"/>
  <c r="O162" i="3" s="1"/>
  <c r="P162" i="3" s="1"/>
  <c r="Q162" i="3" s="1"/>
  <c r="R162" i="3" s="1"/>
  <c r="S162" i="3" s="1"/>
  <c r="C167" i="3"/>
  <c r="D167" i="3" s="1"/>
  <c r="E167" i="3" s="1"/>
  <c r="F167" i="3" s="1"/>
  <c r="G167" i="3" s="1"/>
  <c r="H167" i="3" s="1"/>
  <c r="I167" i="3" s="1"/>
  <c r="J167" i="3" s="1"/>
  <c r="K167" i="3" s="1"/>
  <c r="L167" i="3" s="1"/>
  <c r="M167" i="3" s="1"/>
  <c r="N167" i="3" s="1"/>
  <c r="O167" i="3" s="1"/>
  <c r="P167" i="3" s="1"/>
  <c r="Q167" i="3" s="1"/>
  <c r="R167" i="3" s="1"/>
  <c r="S167" i="3" s="1"/>
  <c r="C161" i="3"/>
  <c r="D161" i="3" s="1"/>
  <c r="E161" i="3" s="1"/>
  <c r="F161" i="3" s="1"/>
  <c r="G161" i="3" s="1"/>
  <c r="H161" i="3" s="1"/>
  <c r="I161" i="3" s="1"/>
  <c r="J161" i="3" s="1"/>
  <c r="K161" i="3" s="1"/>
  <c r="L161" i="3" s="1"/>
  <c r="M161" i="3" s="1"/>
  <c r="N161" i="3" s="1"/>
  <c r="O161" i="3" s="1"/>
  <c r="P161" i="3" s="1"/>
  <c r="Q161" i="3" s="1"/>
  <c r="R161" i="3" s="1"/>
  <c r="S161" i="3" s="1"/>
  <c r="BR9" i="1"/>
  <c r="D86" i="1"/>
  <c r="C87" i="1"/>
  <c r="F54" i="1"/>
  <c r="E56" i="1"/>
  <c r="BR8" i="1"/>
  <c r="J29" i="23" s="1"/>
  <c r="J28" i="23" s="1"/>
  <c r="H62" i="1"/>
  <c r="I61" i="1"/>
  <c r="K61" i="1" s="1"/>
  <c r="I5" i="7"/>
  <c r="E10" i="4"/>
  <c r="L6" i="2"/>
  <c r="U6" i="4"/>
  <c r="J14" i="4"/>
  <c r="G9" i="7"/>
  <c r="K7" i="2"/>
  <c r="D8" i="4"/>
  <c r="S11" i="4"/>
  <c r="D11" i="7"/>
  <c r="C16" i="4"/>
  <c r="T13" i="4"/>
  <c r="L13" i="4"/>
  <c r="E7" i="2"/>
  <c r="I13" i="4"/>
  <c r="P6" i="4"/>
  <c r="H5" i="2"/>
  <c r="F8" i="7"/>
  <c r="F11" i="2"/>
  <c r="J12" i="7"/>
  <c r="G13" i="4"/>
  <c r="U11" i="4"/>
  <c r="E7" i="7"/>
  <c r="K7" i="4"/>
  <c r="G7" i="7"/>
  <c r="E13" i="2"/>
  <c r="J11" i="7"/>
  <c r="H8" i="7"/>
  <c r="K11" i="2"/>
  <c r="I7" i="2"/>
  <c r="F7" i="2"/>
  <c r="E6" i="2"/>
  <c r="J7" i="4"/>
  <c r="D13" i="7"/>
  <c r="D6" i="2"/>
  <c r="T5" i="4"/>
  <c r="L16" i="4"/>
  <c r="K6" i="2"/>
  <c r="C10" i="4"/>
  <c r="U12" i="4"/>
  <c r="M15" i="4"/>
  <c r="K10" i="4"/>
  <c r="D5" i="4"/>
  <c r="L7" i="2"/>
  <c r="G6" i="2"/>
  <c r="G5" i="7"/>
  <c r="F6" i="4"/>
  <c r="R5" i="4"/>
  <c r="S8" i="4"/>
  <c r="L8" i="4"/>
  <c r="N7" i="7"/>
  <c r="C5" i="4"/>
  <c r="H15" i="4"/>
  <c r="I8" i="7"/>
  <c r="F10" i="7"/>
  <c r="F7" i="7"/>
  <c r="V14" i="4"/>
  <c r="D10" i="4"/>
  <c r="H7" i="7"/>
  <c r="H8" i="4"/>
  <c r="C15" i="4"/>
  <c r="I12" i="2"/>
  <c r="D15" i="4"/>
  <c r="J6" i="2"/>
  <c r="X7" i="4"/>
  <c r="H11" i="4"/>
  <c r="F5" i="4"/>
  <c r="G10" i="2"/>
  <c r="L12" i="4"/>
  <c r="I12" i="7"/>
  <c r="D7" i="4"/>
  <c r="I11" i="7"/>
  <c r="H6" i="7"/>
  <c r="F10" i="4"/>
  <c r="H13" i="4"/>
  <c r="E6" i="4"/>
  <c r="F11" i="4"/>
  <c r="J5" i="2"/>
  <c r="G7" i="4"/>
  <c r="G6" i="4"/>
  <c r="E12" i="4"/>
  <c r="D12" i="2"/>
  <c r="D8" i="7"/>
  <c r="T6" i="4"/>
  <c r="D6" i="7"/>
  <c r="G16" i="4"/>
  <c r="Z9" i="4"/>
  <c r="I13" i="7"/>
  <c r="F5" i="7"/>
  <c r="X5" i="4"/>
  <c r="R8" i="4"/>
  <c r="H4" i="7"/>
  <c r="I7" i="7"/>
  <c r="I4" i="7"/>
  <c r="F8" i="4"/>
  <c r="C13" i="4"/>
  <c r="I10" i="7"/>
  <c r="H9" i="4"/>
  <c r="H15" i="2"/>
  <c r="U10" i="4"/>
  <c r="R9" i="4"/>
  <c r="D7" i="7"/>
  <c r="D13" i="2"/>
  <c r="F5" i="2"/>
  <c r="V7" i="4"/>
  <c r="E4" i="2"/>
  <c r="G8" i="4"/>
  <c r="I12" i="4"/>
  <c r="H11" i="7"/>
  <c r="Q12" i="4"/>
  <c r="I11" i="2"/>
  <c r="R11" i="4"/>
  <c r="Z8" i="4"/>
  <c r="K5" i="4"/>
  <c r="I6" i="7"/>
  <c r="G11" i="2"/>
  <c r="E6" i="7"/>
  <c r="G12" i="4"/>
  <c r="E13" i="4"/>
  <c r="I8" i="4"/>
  <c r="I5" i="2"/>
  <c r="V13" i="4"/>
  <c r="J15" i="2"/>
  <c r="H9" i="7"/>
  <c r="J8" i="7"/>
  <c r="J11" i="2"/>
  <c r="C12" i="4"/>
  <c r="E7" i="4"/>
  <c r="Z5" i="4"/>
  <c r="M11" i="4"/>
  <c r="F10" i="2"/>
  <c r="E12" i="7"/>
  <c r="G11" i="7"/>
  <c r="S7" i="4"/>
  <c r="H16" i="4"/>
  <c r="U9" i="4"/>
  <c r="G4" i="2"/>
  <c r="S6" i="4"/>
  <c r="L14" i="2"/>
  <c r="E8" i="7"/>
  <c r="J4" i="2"/>
  <c r="S9" i="4"/>
  <c r="R7" i="4"/>
  <c r="M9" i="4"/>
  <c r="E13" i="7"/>
  <c r="S5" i="4"/>
  <c r="G13" i="7"/>
  <c r="T11" i="4"/>
  <c r="N6" i="7"/>
  <c r="X13" i="4"/>
  <c r="K9" i="4"/>
  <c r="G14" i="2"/>
  <c r="C14" i="4"/>
  <c r="Q9" i="4"/>
  <c r="E14" i="4"/>
  <c r="C4" i="7"/>
  <c r="E9" i="4"/>
  <c r="L7" i="4"/>
  <c r="D14" i="4"/>
  <c r="R13" i="4"/>
  <c r="C7" i="4"/>
  <c r="H4" i="2"/>
  <c r="T8" i="4"/>
  <c r="S12" i="4"/>
  <c r="T10" i="4"/>
  <c r="I10" i="4"/>
  <c r="M10" i="4"/>
  <c r="U8" i="4"/>
  <c r="I16" i="4"/>
  <c r="H13" i="7"/>
  <c r="K15" i="2"/>
  <c r="V6" i="4"/>
  <c r="F4" i="7"/>
  <c r="J16" i="4"/>
  <c r="D11" i="4"/>
  <c r="V10" i="4"/>
  <c r="E11" i="4"/>
  <c r="M13" i="4"/>
  <c r="J6" i="7"/>
  <c r="V5" i="4"/>
  <c r="U14" i="4"/>
  <c r="L13" i="2"/>
  <c r="L15" i="2"/>
  <c r="P13" i="4"/>
  <c r="I6" i="2"/>
  <c r="U5" i="4"/>
  <c r="C9" i="4"/>
  <c r="L11" i="4"/>
  <c r="I9" i="4"/>
  <c r="D11" i="2"/>
  <c r="L10" i="4"/>
  <c r="H12" i="7"/>
  <c r="F14" i="2"/>
  <c r="F15" i="2"/>
  <c r="P11" i="4"/>
  <c r="E11" i="7"/>
  <c r="K13" i="2"/>
  <c r="D12" i="7"/>
  <c r="I13" i="2"/>
  <c r="F9" i="7"/>
  <c r="K15" i="4"/>
  <c r="P12" i="4"/>
  <c r="E12" i="2"/>
  <c r="L6" i="4"/>
  <c r="J10" i="2"/>
  <c r="F12" i="7"/>
  <c r="M8" i="4"/>
  <c r="G10" i="4"/>
  <c r="H14" i="2"/>
  <c r="R10" i="4"/>
  <c r="M14" i="4"/>
  <c r="F13" i="2"/>
  <c r="C11" i="4"/>
  <c r="M5" i="4"/>
  <c r="H12" i="2"/>
  <c r="R6" i="4"/>
  <c r="J9" i="7"/>
  <c r="U7" i="4"/>
  <c r="J15" i="4"/>
  <c r="H6" i="4"/>
  <c r="D9" i="4"/>
  <c r="C6" i="4"/>
  <c r="T9" i="4"/>
  <c r="G5" i="2"/>
  <c r="H11" i="2"/>
  <c r="T14" i="4"/>
  <c r="X10" i="4"/>
  <c r="L4" i="2"/>
  <c r="F11" i="7"/>
  <c r="H10" i="2"/>
  <c r="H10" i="4"/>
  <c r="Q7" i="4"/>
  <c r="M7" i="4"/>
  <c r="K6" i="4"/>
  <c r="E5" i="4"/>
  <c r="G5" i="4"/>
  <c r="J12" i="2"/>
  <c r="M16" i="4"/>
  <c r="E4" i="7"/>
  <c r="F13" i="7"/>
  <c r="Z12" i="4"/>
  <c r="Q8" i="4"/>
  <c r="G8" i="7"/>
  <c r="N9" i="7"/>
  <c r="V8" i="4"/>
  <c r="K10" i="2"/>
  <c r="X9" i="4"/>
  <c r="U13" i="4"/>
  <c r="X6" i="4"/>
  <c r="G11" i="4"/>
  <c r="D13" i="4"/>
  <c r="Q5" i="4"/>
  <c r="L5" i="4"/>
  <c r="K12" i="4"/>
  <c r="K16" i="4"/>
  <c r="X11" i="4"/>
  <c r="P9" i="4"/>
  <c r="S14" i="4"/>
  <c r="V11" i="4"/>
  <c r="D12" i="4"/>
  <c r="L12" i="2"/>
  <c r="T12" i="4"/>
  <c r="M12" i="4"/>
  <c r="P7" i="4"/>
  <c r="T7" i="4"/>
  <c r="Z10" i="4"/>
  <c r="D6" i="4"/>
  <c r="M6" i="4"/>
  <c r="N11" i="7"/>
  <c r="L11" i="2"/>
  <c r="H13" i="2"/>
  <c r="K13" i="4"/>
  <c r="I14" i="2"/>
  <c r="L5" i="2"/>
  <c r="Q16" i="4"/>
  <c r="I15" i="2"/>
  <c r="E8" i="4"/>
  <c r="D4" i="7"/>
  <c r="I11" i="4"/>
  <c r="R14" i="4"/>
  <c r="D10" i="2"/>
  <c r="P5" i="4"/>
  <c r="F9" i="4"/>
  <c r="J14" i="2"/>
  <c r="V12" i="4"/>
  <c r="G15" i="2"/>
  <c r="G10" i="7"/>
  <c r="J5" i="4"/>
  <c r="L10" i="2"/>
  <c r="E15" i="2"/>
  <c r="D16" i="4"/>
  <c r="K5" i="2"/>
  <c r="E9" i="7"/>
  <c r="D4" i="2"/>
  <c r="E14" i="2"/>
  <c r="J7" i="2"/>
  <c r="E11" i="2"/>
  <c r="D9" i="7"/>
  <c r="N13" i="7"/>
  <c r="L14" i="4"/>
  <c r="S10" i="4"/>
  <c r="Z13" i="4"/>
  <c r="G12" i="2"/>
  <c r="E5" i="2"/>
  <c r="K4" i="2"/>
  <c r="K11" i="4"/>
  <c r="P10" i="4"/>
  <c r="N4" i="7"/>
  <c r="K12" i="2"/>
  <c r="Z14" i="4"/>
  <c r="G13" i="2"/>
  <c r="H6" i="2"/>
  <c r="J13" i="2"/>
  <c r="B4" i="7"/>
  <c r="G9" i="4"/>
  <c r="Q11" i="4"/>
  <c r="I15" i="4"/>
  <c r="H12" i="4"/>
  <c r="Z11" i="4"/>
  <c r="H5" i="4"/>
  <c r="N8" i="7"/>
  <c r="G4" i="7"/>
  <c r="V9" i="4"/>
  <c r="F4" i="2"/>
  <c r="Q6" i="4"/>
  <c r="R12" i="4"/>
  <c r="P8" i="4"/>
  <c r="I5" i="4"/>
  <c r="K14" i="2"/>
  <c r="D15" i="2"/>
  <c r="G15" i="4"/>
  <c r="P16" i="4"/>
  <c r="P14" i="4"/>
  <c r="X12" i="4"/>
  <c r="I9" i="7"/>
  <c r="Z7" i="4"/>
  <c r="X14" i="4"/>
  <c r="J13" i="4"/>
  <c r="S13" i="4"/>
  <c r="H7" i="2"/>
  <c r="G14" i="4"/>
  <c r="I4" i="2"/>
  <c r="J13" i="7"/>
  <c r="J4" i="7"/>
  <c r="L9" i="4"/>
  <c r="C8" i="4"/>
  <c r="Z6" i="4"/>
  <c r="G6" i="7"/>
  <c r="F7" i="4"/>
  <c r="Q14" i="4"/>
  <c r="E15" i="4"/>
  <c r="G12" i="7"/>
  <c r="Q10" i="4"/>
  <c r="J6" i="4"/>
  <c r="Q13" i="4"/>
  <c r="E10" i="2"/>
  <c r="D5" i="2"/>
  <c r="K8" i="4"/>
  <c r="I6" i="4"/>
  <c r="F6" i="2"/>
  <c r="H7" i="4"/>
  <c r="I7" i="4"/>
  <c r="J7" i="7"/>
  <c r="D7" i="2"/>
  <c r="X8" i="4"/>
  <c r="I10" i="2"/>
  <c r="F6" i="7"/>
  <c r="BR17" i="1" l="1"/>
  <c r="AC15" i="4"/>
  <c r="F19" i="4"/>
  <c r="K19" i="4"/>
  <c r="L19" i="4"/>
  <c r="G19" i="4"/>
  <c r="N9" i="4"/>
  <c r="O9" i="4" s="1"/>
  <c r="AA7" i="4"/>
  <c r="AC7" i="4" s="1"/>
  <c r="AA5" i="4"/>
  <c r="AC5" i="4" s="1"/>
  <c r="P19" i="4"/>
  <c r="M5" i="2"/>
  <c r="V5" i="2" s="1"/>
  <c r="M11" i="2"/>
  <c r="V11" i="2" s="1"/>
  <c r="M19" i="4"/>
  <c r="K10" i="7"/>
  <c r="M10" i="7" s="1"/>
  <c r="O10" i="7" s="1"/>
  <c r="P10" i="7" s="1"/>
  <c r="C17" i="2"/>
  <c r="C19" i="2" s="1"/>
  <c r="N12" i="4"/>
  <c r="O12" i="4" s="1"/>
  <c r="K8" i="7"/>
  <c r="M8" i="7" s="1"/>
  <c r="O8" i="7" s="1"/>
  <c r="P8" i="7" s="1"/>
  <c r="AA13" i="4"/>
  <c r="AC13" i="4" s="1"/>
  <c r="I17" i="2"/>
  <c r="I19" i="2" s="1"/>
  <c r="K9" i="7"/>
  <c r="M9" i="7" s="1"/>
  <c r="O9" i="7" s="1"/>
  <c r="P9" i="7" s="1"/>
  <c r="M7" i="2"/>
  <c r="V7" i="2" s="1"/>
  <c r="M10" i="2"/>
  <c r="V10" i="2" s="1"/>
  <c r="N11" i="4"/>
  <c r="O11" i="4" s="1"/>
  <c r="N5" i="4"/>
  <c r="O5" i="4" s="1"/>
  <c r="H17" i="2"/>
  <c r="H19" i="2" s="1"/>
  <c r="K7" i="7"/>
  <c r="M7" i="7" s="1"/>
  <c r="O7" i="7" s="1"/>
  <c r="P7" i="7" s="1"/>
  <c r="M12" i="2"/>
  <c r="V12" i="2" s="1"/>
  <c r="D17" i="2"/>
  <c r="M4" i="2"/>
  <c r="V4" i="2" s="1"/>
  <c r="N6" i="4"/>
  <c r="O6" i="4" s="1"/>
  <c r="F17" i="2"/>
  <c r="F19" i="2" s="1"/>
  <c r="J19" i="4"/>
  <c r="R19" i="4"/>
  <c r="AA6" i="4"/>
  <c r="AC6" i="4" s="1"/>
  <c r="N15" i="4"/>
  <c r="O15" i="4" s="1"/>
  <c r="AA10" i="4"/>
  <c r="AC10" i="4" s="1"/>
  <c r="AA12" i="4"/>
  <c r="AC12" i="4" s="1"/>
  <c r="J17" i="2"/>
  <c r="J19" i="2" s="1"/>
  <c r="AA11" i="4"/>
  <c r="AC11" i="4" s="1"/>
  <c r="U19" i="4"/>
  <c r="N10" i="4"/>
  <c r="O10" i="4" s="1"/>
  <c r="AA16" i="4"/>
  <c r="AA9" i="4"/>
  <c r="AC9" i="4" s="1"/>
  <c r="M15" i="2"/>
  <c r="V15" i="2" s="1"/>
  <c r="N7" i="4"/>
  <c r="O7" i="4" s="1"/>
  <c r="K17" i="2"/>
  <c r="K19" i="2" s="1"/>
  <c r="K6" i="7"/>
  <c r="M6" i="7" s="1"/>
  <c r="O6" i="7" s="1"/>
  <c r="P6" i="7" s="1"/>
  <c r="T19" i="4"/>
  <c r="N8" i="4"/>
  <c r="O8" i="4" s="1"/>
  <c r="M6" i="2"/>
  <c r="V6" i="2" s="1"/>
  <c r="K12" i="7"/>
  <c r="M12" i="7" s="1"/>
  <c r="O12" i="7" s="1"/>
  <c r="P12" i="7" s="1"/>
  <c r="X19" i="4"/>
  <c r="S19" i="4"/>
  <c r="L17" i="2"/>
  <c r="L19" i="2" s="1"/>
  <c r="F22" i="2" s="1"/>
  <c r="G17" i="2"/>
  <c r="G19" i="2" s="1"/>
  <c r="AA14" i="4"/>
  <c r="AC14" i="4" s="1"/>
  <c r="K11" i="7"/>
  <c r="M11" i="7" s="1"/>
  <c r="O11" i="7" s="1"/>
  <c r="P11" i="7" s="1"/>
  <c r="N14" i="4"/>
  <c r="O14" i="4" s="1"/>
  <c r="M13" i="2"/>
  <c r="V13" i="2" s="1"/>
  <c r="K4" i="7"/>
  <c r="M4" i="7" s="1"/>
  <c r="O4" i="7" s="1"/>
  <c r="P4" i="7" s="1"/>
  <c r="K5" i="7"/>
  <c r="M5" i="7" s="1"/>
  <c r="O5" i="7" s="1"/>
  <c r="P5" i="7" s="1"/>
  <c r="E19" i="4"/>
  <c r="H19" i="4"/>
  <c r="N13" i="4"/>
  <c r="O13" i="4" s="1"/>
  <c r="K13" i="7"/>
  <c r="M13" i="7" s="1"/>
  <c r="O14" i="7" s="1"/>
  <c r="P14" i="7" s="1"/>
  <c r="Q19" i="4"/>
  <c r="N16" i="4"/>
  <c r="O16" i="4" s="1"/>
  <c r="E17" i="2"/>
  <c r="E19" i="2" s="1"/>
  <c r="D22" i="2" s="1"/>
  <c r="AA8" i="4"/>
  <c r="AC8" i="4" s="1"/>
  <c r="V19" i="4"/>
  <c r="M14" i="2"/>
  <c r="V14" i="2" s="1"/>
  <c r="I19" i="4"/>
  <c r="Z19" i="4"/>
  <c r="T157" i="3"/>
  <c r="T156" i="3"/>
  <c r="T160" i="3"/>
  <c r="U163" i="3"/>
  <c r="V163" i="3" s="1"/>
  <c r="T164" i="3"/>
  <c r="U159" i="3"/>
  <c r="V159" i="3" s="1"/>
  <c r="T158" i="3"/>
  <c r="U161" i="3"/>
  <c r="V161" i="3" s="1"/>
  <c r="T161" i="3"/>
  <c r="U167" i="3"/>
  <c r="V167" i="3" s="1"/>
  <c r="T167" i="3"/>
  <c r="T162" i="3"/>
  <c r="U162" i="3"/>
  <c r="V162" i="3" s="1"/>
  <c r="C173" i="3"/>
  <c r="C175" i="3" s="1"/>
  <c r="E155" i="3"/>
  <c r="D173" i="3"/>
  <c r="D175" i="3" s="1"/>
  <c r="BR18" i="1"/>
  <c r="E57" i="1"/>
  <c r="F55" i="1"/>
  <c r="C88" i="1"/>
  <c r="D87" i="1"/>
  <c r="H63" i="1"/>
  <c r="I62" i="1"/>
  <c r="K62" i="1" s="1"/>
  <c r="AB15" i="4"/>
  <c r="AB13" i="4"/>
  <c r="AB7" i="4"/>
  <c r="AB16" i="4"/>
  <c r="AB5" i="4"/>
  <c r="AC19" i="4" l="1"/>
  <c r="O19" i="4"/>
  <c r="E22" i="2"/>
  <c r="AA19" i="4"/>
  <c r="M17" i="2"/>
  <c r="M19" i="2" s="1"/>
  <c r="O13" i="7"/>
  <c r="P13" i="7" s="1"/>
  <c r="P16" i="7" s="1"/>
  <c r="D19" i="2"/>
  <c r="N19" i="4"/>
  <c r="E173" i="3"/>
  <c r="E175" i="3" s="1"/>
  <c r="F155" i="3"/>
  <c r="D88" i="1"/>
  <c r="C89" i="1"/>
  <c r="H64" i="1"/>
  <c r="I63" i="1"/>
  <c r="K63" i="1" s="1"/>
  <c r="E58" i="1"/>
  <c r="F56" i="1"/>
  <c r="AB10" i="4"/>
  <c r="AB9" i="4"/>
  <c r="AB8" i="4"/>
  <c r="AB14" i="4"/>
  <c r="AB12" i="4"/>
  <c r="AB6" i="4"/>
  <c r="AB11" i="4"/>
  <c r="AB19" i="4" l="1"/>
  <c r="N19" i="2"/>
  <c r="C22" i="2" s="1"/>
  <c r="U17" i="2"/>
  <c r="F173" i="3"/>
  <c r="F175" i="3" s="1"/>
  <c r="G155" i="3"/>
  <c r="H65" i="1"/>
  <c r="I64" i="1"/>
  <c r="K64" i="1" s="1"/>
  <c r="C90" i="1"/>
  <c r="D89" i="1"/>
  <c r="E59" i="1"/>
  <c r="F57" i="1"/>
  <c r="U19" i="2" l="1"/>
  <c r="V17" i="2"/>
  <c r="V19" i="2" s="1"/>
  <c r="V25" i="2" s="1"/>
  <c r="G22" i="2"/>
  <c r="G24" i="2"/>
  <c r="G173" i="3"/>
  <c r="G175" i="3" s="1"/>
  <c r="H155" i="3"/>
  <c r="D90" i="1"/>
  <c r="C91" i="1"/>
  <c r="F58" i="1"/>
  <c r="E60" i="1"/>
  <c r="H66" i="1"/>
  <c r="I65" i="1"/>
  <c r="K65" i="1" s="1"/>
  <c r="H173" i="3" l="1"/>
  <c r="H175" i="3" s="1"/>
  <c r="I155" i="3"/>
  <c r="E61" i="1"/>
  <c r="F59" i="1"/>
  <c r="C92" i="1"/>
  <c r="D91" i="1"/>
  <c r="H67" i="1"/>
  <c r="I66" i="1"/>
  <c r="K66" i="1" s="1"/>
  <c r="I173" i="3" l="1"/>
  <c r="I175" i="3" s="1"/>
  <c r="J155" i="3"/>
  <c r="D92" i="1"/>
  <c r="C93" i="1"/>
  <c r="H68" i="1"/>
  <c r="I67" i="1"/>
  <c r="K67" i="1" s="1"/>
  <c r="E62" i="1"/>
  <c r="F60" i="1"/>
  <c r="J173" i="3" l="1"/>
  <c r="J175" i="3" s="1"/>
  <c r="K155" i="3"/>
  <c r="C94" i="1"/>
  <c r="D93" i="1"/>
  <c r="H69" i="1"/>
  <c r="I68" i="1"/>
  <c r="K68" i="1" s="1"/>
  <c r="E63" i="1"/>
  <c r="F61" i="1"/>
  <c r="L155" i="3" l="1"/>
  <c r="K173" i="3"/>
  <c r="K175" i="3" s="1"/>
  <c r="H70" i="1"/>
  <c r="I69" i="1"/>
  <c r="K69" i="1" s="1"/>
  <c r="F62" i="1"/>
  <c r="E64" i="1"/>
  <c r="D94" i="1"/>
  <c r="C95" i="1"/>
  <c r="M155" i="3" l="1"/>
  <c r="L173" i="3"/>
  <c r="L175" i="3" s="1"/>
  <c r="E65" i="1"/>
  <c r="F63" i="1"/>
  <c r="C96" i="1"/>
  <c r="D95" i="1"/>
  <c r="H71" i="1"/>
  <c r="I70" i="1"/>
  <c r="K70" i="1" s="1"/>
  <c r="N155" i="3" l="1"/>
  <c r="M173" i="3"/>
  <c r="M175" i="3" s="1"/>
  <c r="D96" i="1"/>
  <c r="C97" i="1"/>
  <c r="H72" i="1"/>
  <c r="I71" i="1"/>
  <c r="K71" i="1" s="1"/>
  <c r="E66" i="1"/>
  <c r="F64" i="1"/>
  <c r="N173" i="3" l="1"/>
  <c r="N175" i="3" s="1"/>
  <c r="O155" i="3"/>
  <c r="I72" i="1"/>
  <c r="K72" i="1" s="1"/>
  <c r="H73" i="1"/>
  <c r="I73" i="1" s="1"/>
  <c r="K73" i="1" s="1"/>
  <c r="C98" i="1"/>
  <c r="D97" i="1"/>
  <c r="E67" i="1"/>
  <c r="F65" i="1"/>
  <c r="P155" i="3" l="1"/>
  <c r="O173" i="3"/>
  <c r="O175" i="3" s="1"/>
  <c r="D98" i="1"/>
  <c r="C99" i="1"/>
  <c r="F66" i="1"/>
  <c r="E68" i="1"/>
  <c r="Q155" i="3" l="1"/>
  <c r="P173" i="3"/>
  <c r="P175" i="3" s="1"/>
  <c r="E69" i="1"/>
  <c r="F67" i="1"/>
  <c r="C100" i="1"/>
  <c r="D99" i="1"/>
  <c r="Q173" i="3" l="1"/>
  <c r="Q175" i="3" s="1"/>
  <c r="R155" i="3"/>
  <c r="D100" i="1"/>
  <c r="C101" i="1"/>
  <c r="E70" i="1"/>
  <c r="F68" i="1"/>
  <c r="R173" i="3" l="1"/>
  <c r="R175" i="3" s="1"/>
  <c r="S155" i="3"/>
  <c r="E71" i="1"/>
  <c r="F69" i="1"/>
  <c r="C102" i="1"/>
  <c r="D101" i="1"/>
  <c r="S173" i="3" l="1"/>
  <c r="S175" i="3" s="1"/>
  <c r="U155" i="3"/>
  <c r="T155" i="3"/>
  <c r="T173" i="3" s="1"/>
  <c r="T175" i="3" s="1"/>
  <c r="D102" i="1"/>
  <c r="C103" i="1"/>
  <c r="F70" i="1"/>
  <c r="E72" i="1"/>
  <c r="U173" i="3" l="1"/>
  <c r="U175" i="3" s="1"/>
  <c r="V155" i="3"/>
  <c r="V173" i="3" s="1"/>
  <c r="V175" i="3" s="1"/>
  <c r="E73" i="1"/>
  <c r="F72" i="1" s="1"/>
  <c r="F71" i="1"/>
  <c r="C104" i="1"/>
  <c r="D103" i="1"/>
  <c r="D104" i="1" l="1"/>
  <c r="C105" i="1"/>
  <c r="G11" i="1"/>
  <c r="G14" i="1"/>
  <c r="G4" i="1"/>
  <c r="G12" i="1"/>
  <c r="C106" i="1" l="1"/>
  <c r="D105" i="1"/>
  <c r="D106" i="1" l="1"/>
  <c r="C107" i="1"/>
  <c r="C108" i="1" l="1"/>
  <c r="D107" i="1"/>
  <c r="D108" i="1" l="1"/>
  <c r="C109" i="1"/>
  <c r="C110" i="1" l="1"/>
  <c r="D109" i="1"/>
  <c r="D110" i="1" l="1"/>
  <c r="C111" i="1"/>
  <c r="C112" i="1" l="1"/>
  <c r="D111" i="1"/>
  <c r="D112" i="1" l="1"/>
  <c r="C113" i="1"/>
  <c r="C114" i="1" l="1"/>
  <c r="D113" i="1"/>
  <c r="D114" i="1" l="1"/>
  <c r="C115" i="1"/>
  <c r="C116" i="1" l="1"/>
  <c r="D115" i="1"/>
  <c r="D116" i="1" l="1"/>
  <c r="C117" i="1"/>
  <c r="C118" i="1" l="1"/>
  <c r="D117" i="1"/>
  <c r="D118" i="1" l="1"/>
  <c r="C119" i="1"/>
  <c r="C120" i="1" l="1"/>
  <c r="D119" i="1"/>
  <c r="D120" i="1" l="1"/>
  <c r="C121" i="1"/>
  <c r="C122" i="1" l="1"/>
  <c r="D121" i="1"/>
  <c r="D122" i="1" l="1"/>
  <c r="C123" i="1"/>
  <c r="C124" i="1" l="1"/>
  <c r="D123" i="1"/>
  <c r="D124" i="1" l="1"/>
  <c r="C125" i="1"/>
  <c r="C126" i="1" l="1"/>
  <c r="D125" i="1"/>
  <c r="D126" i="1" l="1"/>
  <c r="C127" i="1"/>
  <c r="C128" i="1" l="1"/>
  <c r="D127" i="1"/>
  <c r="D128" i="1" l="1"/>
  <c r="C129" i="1"/>
  <c r="C130" i="1" l="1"/>
  <c r="D129" i="1"/>
  <c r="D130" i="1" l="1"/>
  <c r="C131" i="1"/>
  <c r="C132" i="1" l="1"/>
  <c r="D132" i="1" s="1"/>
  <c r="D131" i="1"/>
</calcChain>
</file>

<file path=xl/comments1.xml><?xml version="1.0" encoding="utf-8"?>
<comments xmlns="http://schemas.openxmlformats.org/spreadsheetml/2006/main">
  <authors>
    <author>통기타사랑</author>
    <author>user</author>
    <author>통기타사랑,리듬느낌</author>
    <author>admin</author>
    <author>TG</author>
    <author>USER</author>
  </authors>
  <commentList>
    <comment ref="I1" authorId="0" shapeId="0">
      <text>
        <r>
          <rPr>
            <b/>
            <sz val="9"/>
            <color indexed="39"/>
            <rFont val="돋움"/>
            <family val="3"/>
            <charset val="129"/>
          </rPr>
          <t>A1셀의 연도</t>
        </r>
        <r>
          <rPr>
            <sz val="9"/>
            <color indexed="81"/>
            <rFont val="돋움"/>
            <family val="3"/>
            <charset val="129"/>
          </rPr>
          <t>를 변경하면  1년 일수가 365일인지 366일인지 판단함</t>
        </r>
      </text>
    </comment>
    <comment ref="J1" authorId="1" shapeId="0">
      <text>
        <r>
          <rPr>
            <sz val="10"/>
            <color indexed="81"/>
            <rFont val="굴림"/>
            <family val="3"/>
            <charset val="129"/>
          </rPr>
          <t>학년도 말 2월의
아무 날짜나 입력
(수기입력) - 2월의 말일을 구하기 위함</t>
        </r>
      </text>
    </comment>
    <comment ref="AG1" authorId="2" shapeId="0">
      <text>
        <r>
          <rPr>
            <sz val="9"/>
            <color indexed="81"/>
            <rFont val="돋움"/>
            <family val="3"/>
            <charset val="129"/>
          </rPr>
          <t>일할 계산하는 달이면
반드시 당월일수를 꼭 확인해야함(30일,31일,28일 등등 다르기 때문임)</t>
        </r>
        <r>
          <rPr>
            <sz val="9"/>
            <color indexed="81"/>
            <rFont val="Tahoma"/>
            <family val="2"/>
          </rPr>
          <t xml:space="preserve">
</t>
        </r>
      </text>
    </comment>
    <comment ref="C2" authorId="3" shapeId="0">
      <text>
        <r>
          <rPr>
            <sz val="10"/>
            <color indexed="81"/>
            <rFont val="Tahoma"/>
            <family val="2"/>
          </rPr>
          <t>2021</t>
        </r>
        <r>
          <rPr>
            <sz val="10"/>
            <color indexed="10"/>
            <rFont val="굴림체"/>
            <family val="3"/>
            <charset val="129"/>
          </rPr>
          <t>-</t>
        </r>
        <r>
          <rPr>
            <b/>
            <sz val="11"/>
            <color indexed="10"/>
            <rFont val="굴림체"/>
            <family val="3"/>
            <charset val="129"/>
          </rPr>
          <t>07</t>
        </r>
        <r>
          <rPr>
            <sz val="10"/>
            <color indexed="81"/>
            <rFont val="Tahoma"/>
            <family val="2"/>
          </rPr>
          <t>-17</t>
        </r>
        <r>
          <rPr>
            <sz val="9"/>
            <color indexed="81"/>
            <rFont val="Tahoma"/>
            <family val="2"/>
          </rPr>
          <t xml:space="preserve">
</t>
        </r>
        <r>
          <rPr>
            <b/>
            <sz val="10"/>
            <color indexed="81"/>
            <rFont val="돋움"/>
            <family val="3"/>
            <charset val="129"/>
          </rPr>
          <t>매월</t>
        </r>
        <r>
          <rPr>
            <b/>
            <sz val="10"/>
            <color indexed="81"/>
            <rFont val="Tahoma"/>
            <family val="2"/>
          </rPr>
          <t xml:space="preserve"> </t>
        </r>
        <r>
          <rPr>
            <b/>
            <sz val="10"/>
            <color indexed="81"/>
            <rFont val="돋움"/>
            <family val="3"/>
            <charset val="129"/>
          </rPr>
          <t>정확한
급여일자</t>
        </r>
        <r>
          <rPr>
            <b/>
            <sz val="10"/>
            <color indexed="81"/>
            <rFont val="Tahoma"/>
            <family val="2"/>
          </rPr>
          <t xml:space="preserve"> </t>
        </r>
        <r>
          <rPr>
            <b/>
            <sz val="10"/>
            <color indexed="81"/>
            <rFont val="돋움"/>
            <family val="3"/>
            <charset val="129"/>
          </rPr>
          <t>입력</t>
        </r>
      </text>
    </comment>
    <comment ref="I2" authorId="1" shapeId="0">
      <text>
        <r>
          <rPr>
            <sz val="9"/>
            <color indexed="81"/>
            <rFont val="돋움"/>
            <family val="3"/>
            <charset val="129"/>
          </rPr>
          <t xml:space="preserve">장기근무가산금 계산 </t>
        </r>
        <r>
          <rPr>
            <b/>
            <sz val="9"/>
            <color indexed="81"/>
            <rFont val="돋움"/>
            <family val="3"/>
            <charset val="129"/>
          </rPr>
          <t>기준일</t>
        </r>
        <r>
          <rPr>
            <sz val="9"/>
            <color indexed="81"/>
            <rFont val="Tahoma"/>
            <family val="2"/>
          </rPr>
          <t xml:space="preserve">
3,4,5,6,7,8</t>
        </r>
        <r>
          <rPr>
            <sz val="9"/>
            <color indexed="81"/>
            <rFont val="돋움"/>
            <family val="3"/>
            <charset val="129"/>
          </rPr>
          <t>월이면 3
9,10,11,12,1,2월이면 9</t>
        </r>
      </text>
    </comment>
    <comment ref="J2"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2</t>
        </r>
        <r>
          <rPr>
            <sz val="9"/>
            <color indexed="81"/>
            <rFont val="돋움"/>
            <family val="3"/>
            <charset val="129"/>
          </rPr>
          <t>월의</t>
        </r>
        <r>
          <rPr>
            <sz val="9"/>
            <color indexed="81"/>
            <rFont val="Tahoma"/>
            <family val="2"/>
          </rPr>
          <t xml:space="preserve"> </t>
        </r>
        <r>
          <rPr>
            <sz val="9"/>
            <color indexed="81"/>
            <rFont val="돋움"/>
            <family val="3"/>
            <charset val="129"/>
          </rPr>
          <t>말일을</t>
        </r>
        <r>
          <rPr>
            <sz val="9"/>
            <color indexed="81"/>
            <rFont val="Tahoma"/>
            <family val="2"/>
          </rPr>
          <t xml:space="preserve"> </t>
        </r>
        <r>
          <rPr>
            <sz val="9"/>
            <color indexed="81"/>
            <rFont val="돋움"/>
            <family val="3"/>
            <charset val="129"/>
          </rPr>
          <t>나타냄</t>
        </r>
      </text>
    </comment>
    <comment ref="K2" authorId="4" shapeId="0">
      <text>
        <r>
          <rPr>
            <sz val="9"/>
            <color indexed="81"/>
            <rFont val="돋움"/>
            <family val="3"/>
            <charset val="129"/>
          </rPr>
          <t>매월초
장기근무가산금
산정용 기준일</t>
        </r>
      </text>
    </comment>
    <comment ref="AP2"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명절휴가비</t>
        </r>
      </text>
    </comment>
    <comment ref="AQ2"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명절휴가비가</t>
        </r>
        <r>
          <rPr>
            <sz val="9"/>
            <color indexed="81"/>
            <rFont val="Tahoma"/>
            <family val="2"/>
          </rPr>
          <t xml:space="preserve"> 20.02.12</t>
        </r>
      </text>
    </comment>
    <comment ref="AX2" authorId="2" shapeId="0">
      <text>
        <r>
          <rPr>
            <b/>
            <sz val="9"/>
            <color indexed="81"/>
            <rFont val="돋움"/>
            <family val="3"/>
            <charset val="129"/>
          </rPr>
          <t xml:space="preserve">정기상여금
</t>
        </r>
        <r>
          <rPr>
            <sz val="9"/>
            <color indexed="81"/>
            <rFont val="돋움"/>
            <family val="3"/>
            <charset val="129"/>
          </rPr>
          <t>연90만원</t>
        </r>
      </text>
    </comment>
    <comment ref="BC2" authorId="1" shapeId="0">
      <text>
        <r>
          <rPr>
            <b/>
            <sz val="9"/>
            <color indexed="81"/>
            <rFont val="돋움"/>
            <family val="3"/>
            <charset val="129"/>
          </rPr>
          <t xml:space="preserve">국민연금
</t>
        </r>
        <r>
          <rPr>
            <sz val="9"/>
            <color indexed="81"/>
            <rFont val="돋움"/>
            <family val="3"/>
            <charset val="129"/>
          </rPr>
          <t>매년</t>
        </r>
        <r>
          <rPr>
            <sz val="9"/>
            <color indexed="81"/>
            <rFont val="Tahoma"/>
            <family val="2"/>
          </rPr>
          <t>7</t>
        </r>
        <r>
          <rPr>
            <sz val="9"/>
            <color indexed="81"/>
            <rFont val="돋움"/>
            <family val="3"/>
            <charset val="129"/>
          </rPr>
          <t>월에</t>
        </r>
        <r>
          <rPr>
            <sz val="9"/>
            <color indexed="81"/>
            <rFont val="Tahoma"/>
            <family val="2"/>
          </rPr>
          <t xml:space="preserve"> </t>
        </r>
        <r>
          <rPr>
            <sz val="9"/>
            <color indexed="81"/>
            <rFont val="돋움"/>
            <family val="3"/>
            <charset val="129"/>
          </rPr>
          <t>보험료</t>
        </r>
        <r>
          <rPr>
            <sz val="9"/>
            <color indexed="81"/>
            <rFont val="Tahoma"/>
            <family val="2"/>
          </rPr>
          <t xml:space="preserve"> </t>
        </r>
        <r>
          <rPr>
            <sz val="9"/>
            <color indexed="81"/>
            <rFont val="돋움"/>
            <family val="3"/>
            <charset val="129"/>
          </rPr>
          <t xml:space="preserve">변경
</t>
        </r>
        <r>
          <rPr>
            <sz val="9"/>
            <color indexed="81"/>
            <rFont val="Tahoma"/>
            <family val="2"/>
          </rPr>
          <t xml:space="preserve"> - </t>
        </r>
        <r>
          <rPr>
            <sz val="9"/>
            <color indexed="81"/>
            <rFont val="돋움"/>
            <family val="3"/>
            <charset val="129"/>
          </rPr>
          <t>기준소득월액</t>
        </r>
      </text>
    </comment>
    <comment ref="BK2"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고용보험</t>
        </r>
        <r>
          <rPr>
            <sz val="9"/>
            <color indexed="81"/>
            <rFont val="Tahoma"/>
            <family val="2"/>
          </rPr>
          <t xml:space="preserve"> </t>
        </r>
        <r>
          <rPr>
            <sz val="9"/>
            <color indexed="81"/>
            <rFont val="돋움"/>
            <family val="3"/>
            <charset val="129"/>
          </rPr>
          <t>실업급여</t>
        </r>
        <r>
          <rPr>
            <sz val="9"/>
            <color indexed="81"/>
            <rFont val="Tahoma"/>
            <family val="2"/>
          </rPr>
          <t xml:space="preserve"> </t>
        </r>
        <r>
          <rPr>
            <sz val="9"/>
            <color indexed="81"/>
            <rFont val="돋움"/>
            <family val="3"/>
            <charset val="129"/>
          </rPr>
          <t>보험요율이</t>
        </r>
        <r>
          <rPr>
            <sz val="9"/>
            <color indexed="81"/>
            <rFont val="Tahoma"/>
            <family val="2"/>
          </rPr>
          <t xml:space="preserve"> 2019.10.01.</t>
        </r>
        <r>
          <rPr>
            <sz val="9"/>
            <color indexed="81"/>
            <rFont val="돋움"/>
            <family val="3"/>
            <charset val="129"/>
          </rPr>
          <t>부터</t>
        </r>
        <r>
          <rPr>
            <sz val="9"/>
            <color indexed="81"/>
            <rFont val="Tahoma"/>
            <family val="2"/>
          </rPr>
          <t xml:space="preserve"> 
1.3</t>
        </r>
        <r>
          <rPr>
            <sz val="9"/>
            <color indexed="81"/>
            <rFont val="돋움"/>
            <family val="3"/>
            <charset val="129"/>
          </rPr>
          <t>에서</t>
        </r>
        <r>
          <rPr>
            <sz val="9"/>
            <color indexed="81"/>
            <rFont val="Tahoma"/>
            <family val="2"/>
          </rPr>
          <t xml:space="preserve"> 1.6%</t>
        </r>
        <r>
          <rPr>
            <sz val="9"/>
            <color indexed="81"/>
            <rFont val="돋움"/>
            <family val="3"/>
            <charset val="129"/>
          </rPr>
          <t>로</t>
        </r>
        <r>
          <rPr>
            <sz val="9"/>
            <color indexed="81"/>
            <rFont val="Tahoma"/>
            <family val="2"/>
          </rPr>
          <t xml:space="preserve"> </t>
        </r>
        <r>
          <rPr>
            <sz val="9"/>
            <color indexed="81"/>
            <rFont val="돋움"/>
            <family val="3"/>
            <charset val="129"/>
          </rPr>
          <t xml:space="preserve">인상됨
</t>
        </r>
        <r>
          <rPr>
            <sz val="9"/>
            <color indexed="81"/>
            <rFont val="Tahoma"/>
            <family val="2"/>
          </rPr>
          <t>(</t>
        </r>
        <r>
          <rPr>
            <sz val="9"/>
            <color indexed="81"/>
            <rFont val="돋움"/>
            <family val="3"/>
            <charset val="129"/>
          </rPr>
          <t>사업주</t>
        </r>
        <r>
          <rPr>
            <sz val="9"/>
            <color indexed="81"/>
            <rFont val="Tahoma"/>
            <family val="2"/>
          </rPr>
          <t>,</t>
        </r>
        <r>
          <rPr>
            <sz val="9"/>
            <color indexed="81"/>
            <rFont val="돋움"/>
            <family val="3"/>
            <charset val="129"/>
          </rPr>
          <t>근로자</t>
        </r>
        <r>
          <rPr>
            <sz val="9"/>
            <color indexed="81"/>
            <rFont val="Tahoma"/>
            <family val="2"/>
          </rPr>
          <t xml:space="preserve"> </t>
        </r>
        <r>
          <rPr>
            <sz val="9"/>
            <color indexed="81"/>
            <rFont val="돋움"/>
            <family val="3"/>
            <charset val="129"/>
          </rPr>
          <t>각각</t>
        </r>
        <r>
          <rPr>
            <sz val="9"/>
            <color indexed="81"/>
            <rFont val="Tahoma"/>
            <family val="2"/>
          </rPr>
          <t xml:space="preserve"> 0.8%)</t>
        </r>
      </text>
    </comment>
    <comment ref="G3" authorId="1" shapeId="0">
      <text>
        <r>
          <rPr>
            <sz val="10"/>
            <color indexed="81"/>
            <rFont val="굴림"/>
            <family val="3"/>
            <charset val="129"/>
          </rPr>
          <t>365일
366일 확인할것</t>
        </r>
      </text>
    </comment>
    <comment ref="AA3" authorId="0" shapeId="0">
      <text>
        <r>
          <rPr>
            <sz val="10"/>
            <color indexed="81"/>
            <rFont val="굴림"/>
            <family val="3"/>
            <charset val="129"/>
          </rPr>
          <t>2월이 28일인지
29일인지 확인할것</t>
        </r>
      </text>
    </comment>
    <comment ref="AO3"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3</t>
        </r>
        <r>
          <rPr>
            <sz val="9"/>
            <color indexed="81"/>
            <rFont val="돋움"/>
            <family val="3"/>
            <charset val="129"/>
          </rPr>
          <t>월</t>
        </r>
        <r>
          <rPr>
            <sz val="9"/>
            <color indexed="81"/>
            <rFont val="Tahoma"/>
            <family val="2"/>
          </rPr>
          <t>,9</t>
        </r>
        <r>
          <rPr>
            <sz val="9"/>
            <color indexed="81"/>
            <rFont val="돋움"/>
            <family val="3"/>
            <charset val="129"/>
          </rPr>
          <t>월</t>
        </r>
        <r>
          <rPr>
            <sz val="9"/>
            <color indexed="81"/>
            <rFont val="Tahoma"/>
            <family val="2"/>
          </rPr>
          <t xml:space="preserve"> </t>
        </r>
        <r>
          <rPr>
            <sz val="9"/>
            <color indexed="81"/>
            <rFont val="돋움"/>
            <family val="3"/>
            <charset val="129"/>
          </rPr>
          <t xml:space="preserve">기준으로
</t>
        </r>
        <r>
          <rPr>
            <sz val="9"/>
            <color indexed="81"/>
            <rFont val="Tahoma"/>
            <family val="2"/>
          </rPr>
          <t>0</t>
        </r>
        <r>
          <rPr>
            <sz val="9"/>
            <color indexed="81"/>
            <rFont val="돋움"/>
            <family val="3"/>
            <charset val="129"/>
          </rPr>
          <t>년</t>
        </r>
        <r>
          <rPr>
            <sz val="9"/>
            <color indexed="81"/>
            <rFont val="Tahoma"/>
            <family val="2"/>
          </rPr>
          <t xml:space="preserve"> </t>
        </r>
        <r>
          <rPr>
            <sz val="9"/>
            <color indexed="81"/>
            <rFont val="돋움"/>
            <family val="3"/>
            <charset val="129"/>
          </rPr>
          <t>이상</t>
        </r>
      </text>
    </comment>
    <comment ref="AQ3" authorId="1" shapeId="0">
      <text>
        <r>
          <rPr>
            <sz val="9"/>
            <color indexed="81"/>
            <rFont val="돋움"/>
            <family val="3"/>
            <charset val="129"/>
          </rPr>
          <t>연60만원,
추석, 설이 있는 달을
위 An1, An2셀에 입력
- 설날 및 추석날(이하“지급기준일”이라 하다) 현재 재직 중인 자
- 설날 60만원, 추석날 60만원
- 근무시간에 비례하여 지급, 주 15시간 미만자는 지급하지 않음</t>
        </r>
      </text>
    </comment>
    <comment ref="AR3" authorId="1" shapeId="0">
      <text>
        <r>
          <rPr>
            <sz val="9"/>
            <color indexed="81"/>
            <rFont val="돋움"/>
            <family val="3"/>
            <charset val="129"/>
          </rPr>
          <t>교통보조비</t>
        </r>
        <r>
          <rPr>
            <sz val="9"/>
            <color indexed="81"/>
            <rFont val="Tahoma"/>
            <family val="2"/>
          </rPr>
          <t xml:space="preserve">
</t>
        </r>
        <r>
          <rPr>
            <sz val="9"/>
            <color indexed="81"/>
            <rFont val="돋움"/>
            <family val="3"/>
            <charset val="129"/>
          </rPr>
          <t>19년 9월까지 지급.
19년 10월부터는 10만원이 기본급에 포함되어 11월부터는 미지급</t>
        </r>
      </text>
    </comment>
    <comment ref="AS3" authorId="0" shapeId="0">
      <text>
        <r>
          <rPr>
            <sz val="9"/>
            <color indexed="81"/>
            <rFont val="돋움"/>
            <family val="3"/>
            <charset val="129"/>
          </rPr>
          <t>가족수당</t>
        </r>
        <r>
          <rPr>
            <sz val="9"/>
            <color indexed="81"/>
            <rFont val="Tahoma"/>
            <family val="2"/>
          </rPr>
          <t xml:space="preserve">: </t>
        </r>
        <r>
          <rPr>
            <sz val="9"/>
            <color indexed="81"/>
            <rFont val="돋움"/>
            <family val="3"/>
            <charset val="129"/>
          </rPr>
          <t>공무원에</t>
        </r>
        <r>
          <rPr>
            <sz val="9"/>
            <color indexed="81"/>
            <rFont val="Tahoma"/>
            <family val="2"/>
          </rPr>
          <t xml:space="preserve"> </t>
        </r>
        <r>
          <rPr>
            <sz val="9"/>
            <color indexed="81"/>
            <rFont val="돋움"/>
            <family val="3"/>
            <charset val="129"/>
          </rPr>
          <t>준함
방학중</t>
        </r>
        <r>
          <rPr>
            <sz val="9"/>
            <color indexed="81"/>
            <rFont val="Tahoma"/>
            <family val="2"/>
          </rPr>
          <t xml:space="preserve"> </t>
        </r>
        <r>
          <rPr>
            <sz val="9"/>
            <color indexed="81"/>
            <rFont val="돋움"/>
            <family val="3"/>
            <charset val="129"/>
          </rPr>
          <t>전액지급</t>
        </r>
        <r>
          <rPr>
            <sz val="9"/>
            <color indexed="81"/>
            <rFont val="Tahoma"/>
            <family val="2"/>
          </rPr>
          <t xml:space="preserve">, </t>
        </r>
        <r>
          <rPr>
            <sz val="9"/>
            <color indexed="81"/>
            <rFont val="돋움"/>
            <family val="3"/>
            <charset val="129"/>
          </rPr>
          <t>신분변동시</t>
        </r>
        <r>
          <rPr>
            <sz val="9"/>
            <color indexed="81"/>
            <rFont val="Tahoma"/>
            <family val="2"/>
          </rPr>
          <t xml:space="preserve"> </t>
        </r>
        <r>
          <rPr>
            <sz val="9"/>
            <color indexed="81"/>
            <rFont val="돋움"/>
            <family val="3"/>
            <charset val="129"/>
          </rPr>
          <t>일할계산
배우자</t>
        </r>
        <r>
          <rPr>
            <sz val="9"/>
            <color indexed="81"/>
            <rFont val="Tahoma"/>
            <family val="2"/>
          </rPr>
          <t xml:space="preserve"> 4</t>
        </r>
        <r>
          <rPr>
            <sz val="9"/>
            <color indexed="81"/>
            <rFont val="돋움"/>
            <family val="3"/>
            <charset val="129"/>
          </rPr>
          <t>만원</t>
        </r>
        <r>
          <rPr>
            <sz val="9"/>
            <color indexed="81"/>
            <rFont val="Tahoma"/>
            <family val="2"/>
          </rPr>
          <t xml:space="preserve">, </t>
        </r>
        <r>
          <rPr>
            <sz val="9"/>
            <color indexed="81"/>
            <rFont val="돋움"/>
            <family val="3"/>
            <charset val="129"/>
          </rPr>
          <t>첫째자녀</t>
        </r>
        <r>
          <rPr>
            <sz val="9"/>
            <color indexed="81"/>
            <rFont val="Tahoma"/>
            <family val="2"/>
          </rPr>
          <t xml:space="preserve"> 2</t>
        </r>
        <r>
          <rPr>
            <sz val="9"/>
            <color indexed="81"/>
            <rFont val="돋움"/>
            <family val="3"/>
            <charset val="129"/>
          </rPr>
          <t>만원
둘째자녀</t>
        </r>
        <r>
          <rPr>
            <sz val="9"/>
            <color indexed="81"/>
            <rFont val="Tahoma"/>
            <family val="2"/>
          </rPr>
          <t xml:space="preserve"> 6</t>
        </r>
        <r>
          <rPr>
            <sz val="9"/>
            <color indexed="81"/>
            <rFont val="돋움"/>
            <family val="3"/>
            <charset val="129"/>
          </rPr>
          <t>만원</t>
        </r>
        <r>
          <rPr>
            <sz val="9"/>
            <color indexed="81"/>
            <rFont val="Tahoma"/>
            <family val="2"/>
          </rPr>
          <t xml:space="preserve">, </t>
        </r>
        <r>
          <rPr>
            <sz val="9"/>
            <color indexed="81"/>
            <rFont val="돋움"/>
            <family val="3"/>
            <charset val="129"/>
          </rPr>
          <t>셋째이후</t>
        </r>
        <r>
          <rPr>
            <sz val="9"/>
            <color indexed="81"/>
            <rFont val="Tahoma"/>
            <family val="2"/>
          </rPr>
          <t xml:space="preserve"> 10</t>
        </r>
        <r>
          <rPr>
            <sz val="9"/>
            <color indexed="81"/>
            <rFont val="돋움"/>
            <family val="3"/>
            <charset val="129"/>
          </rPr>
          <t>만원
기타가족</t>
        </r>
        <r>
          <rPr>
            <sz val="9"/>
            <color indexed="81"/>
            <rFont val="Tahoma"/>
            <family val="2"/>
          </rPr>
          <t>(</t>
        </r>
        <r>
          <rPr>
            <sz val="9"/>
            <color indexed="81"/>
            <rFont val="돋움"/>
            <family val="3"/>
            <charset val="129"/>
          </rPr>
          <t>존속</t>
        </r>
        <r>
          <rPr>
            <sz val="9"/>
            <color indexed="81"/>
            <rFont val="Tahoma"/>
            <family val="2"/>
          </rPr>
          <t>) 2</t>
        </r>
        <r>
          <rPr>
            <sz val="9"/>
            <color indexed="81"/>
            <rFont val="돋움"/>
            <family val="3"/>
            <charset val="129"/>
          </rPr>
          <t xml:space="preserve">만원
</t>
        </r>
        <r>
          <rPr>
            <b/>
            <sz val="9"/>
            <color indexed="39"/>
            <rFont val="맑은 고딕"/>
            <family val="3"/>
            <charset val="129"/>
          </rPr>
          <t>18.3.1.부터 자녀가족수당은 만19세 미만
으로 변경됨</t>
        </r>
      </text>
    </comment>
    <comment ref="AW3" authorId="2" shapeId="0">
      <text>
        <r>
          <rPr>
            <sz val="9"/>
            <color indexed="81"/>
            <rFont val="돋움"/>
            <family val="3"/>
            <charset val="129"/>
          </rPr>
          <t>19.03.01.부터
교육부 보수표 적용자
8월,1월에 45만원씩 지급
(연90만원)</t>
        </r>
      </text>
    </comment>
    <comment ref="BG3"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국민연금영주봉화지사</t>
        </r>
        <r>
          <rPr>
            <sz val="9"/>
            <color indexed="81"/>
            <rFont val="Tahoma"/>
            <family val="2"/>
          </rPr>
          <t xml:space="preserve"> 639-8015
</t>
        </r>
        <r>
          <rPr>
            <sz val="9"/>
            <color indexed="81"/>
            <rFont val="돋움"/>
            <family val="3"/>
            <charset val="129"/>
          </rPr>
          <t>국민연금은</t>
        </r>
        <r>
          <rPr>
            <sz val="9"/>
            <color indexed="81"/>
            <rFont val="Tahoma"/>
            <family val="2"/>
          </rPr>
          <t xml:space="preserve"> </t>
        </r>
        <r>
          <rPr>
            <sz val="9"/>
            <color indexed="81"/>
            <rFont val="돋움"/>
            <family val="3"/>
            <charset val="129"/>
          </rPr>
          <t>매년</t>
        </r>
        <r>
          <rPr>
            <sz val="9"/>
            <color indexed="81"/>
            <rFont val="Tahoma"/>
            <family val="2"/>
          </rPr>
          <t xml:space="preserve"> 7</t>
        </r>
        <r>
          <rPr>
            <sz val="9"/>
            <color indexed="81"/>
            <rFont val="돋움"/>
            <family val="3"/>
            <charset val="129"/>
          </rPr>
          <t>월에</t>
        </r>
        <r>
          <rPr>
            <sz val="9"/>
            <color indexed="81"/>
            <rFont val="Tahoma"/>
            <family val="2"/>
          </rPr>
          <t xml:space="preserve"> </t>
        </r>
        <r>
          <rPr>
            <sz val="9"/>
            <color indexed="81"/>
            <rFont val="돋움"/>
            <family val="3"/>
            <charset val="129"/>
          </rPr>
          <t>바뀜</t>
        </r>
      </text>
    </comment>
    <comment ref="BU3" authorId="2"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 </t>
        </r>
        <r>
          <rPr>
            <sz val="9"/>
            <color indexed="81"/>
            <rFont val="돋움"/>
            <family val="3"/>
            <charset val="129"/>
          </rPr>
          <t>맞춤형복지비는</t>
        </r>
        <r>
          <rPr>
            <sz val="9"/>
            <color indexed="81"/>
            <rFont val="Tahoma"/>
            <family val="2"/>
          </rPr>
          <t xml:space="preserve"> </t>
        </r>
        <r>
          <rPr>
            <sz val="9"/>
            <color indexed="81"/>
            <rFont val="돋움"/>
            <family val="3"/>
            <charset val="129"/>
          </rPr>
          <t>주</t>
        </r>
        <r>
          <rPr>
            <sz val="9"/>
            <color indexed="81"/>
            <rFont val="Tahoma"/>
            <family val="2"/>
          </rPr>
          <t>40</t>
        </r>
        <r>
          <rPr>
            <sz val="9"/>
            <color indexed="81"/>
            <rFont val="돋움"/>
            <family val="3"/>
            <charset val="129"/>
          </rPr>
          <t>시간이상</t>
        </r>
        <r>
          <rPr>
            <sz val="9"/>
            <color indexed="81"/>
            <rFont val="Tahoma"/>
            <family val="2"/>
          </rPr>
          <t>,</t>
        </r>
        <r>
          <rPr>
            <sz val="9"/>
            <color indexed="81"/>
            <rFont val="돋움"/>
            <family val="3"/>
            <charset val="129"/>
          </rPr>
          <t>근속연수</t>
        </r>
        <r>
          <rPr>
            <sz val="9"/>
            <color indexed="81"/>
            <rFont val="Tahoma"/>
            <family val="2"/>
          </rPr>
          <t>1</t>
        </r>
        <r>
          <rPr>
            <sz val="9"/>
            <color indexed="81"/>
            <rFont val="돋움"/>
            <family val="3"/>
            <charset val="129"/>
          </rPr>
          <t>년이상</t>
        </r>
        <r>
          <rPr>
            <sz val="9"/>
            <color indexed="81"/>
            <rFont val="Tahoma"/>
            <family val="2"/>
          </rPr>
          <t>,</t>
        </r>
        <r>
          <rPr>
            <sz val="9"/>
            <color indexed="81"/>
            <rFont val="돋움"/>
            <family val="3"/>
            <charset val="129"/>
          </rPr>
          <t>계약기간이</t>
        </r>
        <r>
          <rPr>
            <sz val="9"/>
            <color indexed="81"/>
            <rFont val="Tahoma"/>
            <family val="2"/>
          </rPr>
          <t>1</t>
        </r>
        <r>
          <rPr>
            <sz val="9"/>
            <color indexed="81"/>
            <rFont val="돋움"/>
            <family val="3"/>
            <charset val="129"/>
          </rPr>
          <t>년이상인자만</t>
        </r>
        <r>
          <rPr>
            <sz val="9"/>
            <color indexed="81"/>
            <rFont val="Tahoma"/>
            <family val="2"/>
          </rPr>
          <t xml:space="preserve"> </t>
        </r>
        <r>
          <rPr>
            <sz val="9"/>
            <color indexed="81"/>
            <rFont val="돋움"/>
            <family val="3"/>
            <charset val="129"/>
          </rPr>
          <t xml:space="preserve">해당됨
</t>
        </r>
        <r>
          <rPr>
            <sz val="9"/>
            <color indexed="81"/>
            <rFont val="Tahoma"/>
            <family val="2"/>
          </rPr>
          <t>(</t>
        </r>
        <r>
          <rPr>
            <sz val="9"/>
            <color indexed="81"/>
            <rFont val="돋움"/>
            <family val="3"/>
            <charset val="129"/>
          </rPr>
          <t>학교지원과</t>
        </r>
        <r>
          <rPr>
            <sz val="9"/>
            <color indexed="81"/>
            <rFont val="Tahoma"/>
            <family val="2"/>
          </rPr>
          <t xml:space="preserve">-3686(180312) </t>
        </r>
        <r>
          <rPr>
            <sz val="9"/>
            <color indexed="81"/>
            <rFont val="돋움"/>
            <family val="3"/>
            <charset val="129"/>
          </rPr>
          <t>접수</t>
        </r>
      </text>
    </comment>
    <comment ref="CD3" authorId="3" shapeId="0">
      <text>
        <r>
          <rPr>
            <b/>
            <sz val="9"/>
            <color indexed="81"/>
            <rFont val="Tahoma"/>
            <family val="2"/>
          </rPr>
          <t>admin:</t>
        </r>
        <r>
          <rPr>
            <sz val="9"/>
            <color indexed="81"/>
            <rFont val="Tahoma"/>
            <family val="2"/>
          </rPr>
          <t xml:space="preserve">
</t>
        </r>
        <r>
          <rPr>
            <sz val="9"/>
            <color indexed="81"/>
            <rFont val="돋움"/>
            <family val="3"/>
            <charset val="129"/>
          </rPr>
          <t>학교</t>
        </r>
        <r>
          <rPr>
            <sz val="9"/>
            <color indexed="81"/>
            <rFont val="Tahoma"/>
            <family val="2"/>
          </rPr>
          <t xml:space="preserve"> </t>
        </r>
        <r>
          <rPr>
            <sz val="9"/>
            <color indexed="81"/>
            <rFont val="돋움"/>
            <family val="3"/>
            <charset val="129"/>
          </rPr>
          <t>정산보험료</t>
        </r>
        <r>
          <rPr>
            <sz val="9"/>
            <color indexed="81"/>
            <rFont val="Tahoma"/>
            <family val="2"/>
          </rPr>
          <t>+</t>
        </r>
        <r>
          <rPr>
            <sz val="9"/>
            <color indexed="81"/>
            <rFont val="돋움"/>
            <family val="3"/>
            <charset val="129"/>
          </rPr>
          <t>고안직능</t>
        </r>
        <r>
          <rPr>
            <sz val="9"/>
            <color indexed="81"/>
            <rFont val="Tahoma"/>
            <family val="2"/>
          </rPr>
          <t xml:space="preserve"> </t>
        </r>
        <r>
          <rPr>
            <sz val="9"/>
            <color indexed="81"/>
            <rFont val="돋움"/>
            <family val="3"/>
            <charset val="129"/>
          </rPr>
          <t>정산보험료</t>
        </r>
      </text>
    </comment>
    <comment ref="AA4" authorId="3" shapeId="0">
      <text>
        <r>
          <rPr>
            <b/>
            <sz val="9"/>
            <color indexed="81"/>
            <rFont val="Tahoma"/>
            <family val="2"/>
          </rPr>
          <t>admin:</t>
        </r>
        <r>
          <rPr>
            <sz val="9"/>
            <color indexed="81"/>
            <rFont val="Tahoma"/>
            <family val="2"/>
          </rPr>
          <t xml:space="preserve">
2022.2.28.</t>
        </r>
      </text>
    </comment>
    <comment ref="AO4" authorId="3" shapeId="0">
      <text>
        <r>
          <rPr>
            <sz val="9"/>
            <color indexed="81"/>
            <rFont val="돋움"/>
            <family val="3"/>
            <charset val="129"/>
          </rPr>
          <t>특수운영직군</t>
        </r>
        <r>
          <rPr>
            <sz val="9"/>
            <color indexed="81"/>
            <rFont val="Tahoma"/>
            <family val="2"/>
          </rPr>
          <t>(</t>
        </r>
        <r>
          <rPr>
            <sz val="9"/>
            <color indexed="81"/>
            <rFont val="돋움"/>
            <family val="3"/>
            <charset val="129"/>
          </rPr>
          <t>청소원</t>
        </r>
        <r>
          <rPr>
            <sz val="9"/>
            <color indexed="81"/>
            <rFont val="Tahoma"/>
            <family val="2"/>
          </rPr>
          <t>)</t>
        </r>
        <r>
          <rPr>
            <sz val="9"/>
            <color indexed="81"/>
            <rFont val="돋움"/>
            <family val="3"/>
            <charset val="129"/>
          </rPr>
          <t>은</t>
        </r>
        <r>
          <rPr>
            <sz val="9"/>
            <color indexed="81"/>
            <rFont val="Tahoma"/>
            <family val="2"/>
          </rPr>
          <t xml:space="preserve"> </t>
        </r>
        <r>
          <rPr>
            <sz val="9"/>
            <color indexed="81"/>
            <rFont val="돋움"/>
            <family val="3"/>
            <charset val="129"/>
          </rPr>
          <t>근속수당</t>
        </r>
        <r>
          <rPr>
            <sz val="9"/>
            <color indexed="81"/>
            <rFont val="Tahoma"/>
            <family val="2"/>
          </rPr>
          <t xml:space="preserve"> </t>
        </r>
        <r>
          <rPr>
            <sz val="9"/>
            <color indexed="81"/>
            <rFont val="돋움"/>
            <family val="3"/>
            <charset val="129"/>
          </rPr>
          <t>없음</t>
        </r>
      </text>
    </comment>
    <comment ref="BG4" authorId="3" shapeId="0">
      <text>
        <r>
          <rPr>
            <sz val="9"/>
            <color indexed="81"/>
            <rFont val="돋움"/>
            <family val="3"/>
            <charset val="129"/>
          </rPr>
          <t>만</t>
        </r>
        <r>
          <rPr>
            <sz val="9"/>
            <color indexed="81"/>
            <rFont val="Tahoma"/>
            <family val="2"/>
          </rPr>
          <t>60</t>
        </r>
        <r>
          <rPr>
            <sz val="9"/>
            <color indexed="81"/>
            <rFont val="돋움"/>
            <family val="3"/>
            <charset val="129"/>
          </rPr>
          <t>세</t>
        </r>
        <r>
          <rPr>
            <sz val="9"/>
            <color indexed="81"/>
            <rFont val="Tahoma"/>
            <family val="2"/>
          </rPr>
          <t xml:space="preserve"> </t>
        </r>
        <r>
          <rPr>
            <sz val="9"/>
            <color indexed="81"/>
            <rFont val="돋움"/>
            <family val="3"/>
            <charset val="129"/>
          </rPr>
          <t>이상은
국민연금</t>
        </r>
        <r>
          <rPr>
            <sz val="9"/>
            <color indexed="81"/>
            <rFont val="Tahoma"/>
            <family val="2"/>
          </rPr>
          <t xml:space="preserve"> </t>
        </r>
        <r>
          <rPr>
            <sz val="9"/>
            <color indexed="81"/>
            <rFont val="돋움"/>
            <family val="3"/>
            <charset val="129"/>
          </rPr>
          <t>미가입</t>
        </r>
      </text>
    </comment>
    <comment ref="J5" authorId="3" shapeId="0">
      <text>
        <r>
          <rPr>
            <b/>
            <sz val="9"/>
            <color indexed="81"/>
            <rFont val="Tahoma"/>
            <family val="2"/>
          </rPr>
          <t>admin:</t>
        </r>
        <r>
          <rPr>
            <sz val="9"/>
            <color indexed="81"/>
            <rFont val="Tahoma"/>
            <family val="2"/>
          </rPr>
          <t xml:space="preserve">
2018</t>
        </r>
        <r>
          <rPr>
            <sz val="9"/>
            <color indexed="81"/>
            <rFont val="돋움"/>
            <family val="3"/>
            <charset val="129"/>
          </rPr>
          <t>년</t>
        </r>
        <r>
          <rPr>
            <sz val="9"/>
            <color indexed="81"/>
            <rFont val="Tahoma"/>
            <family val="2"/>
          </rPr>
          <t xml:space="preserve"> 3</t>
        </r>
        <r>
          <rPr>
            <sz val="9"/>
            <color indexed="81"/>
            <rFont val="돋움"/>
            <family val="3"/>
            <charset val="129"/>
          </rPr>
          <t xml:space="preserve">월이전에는
</t>
        </r>
        <r>
          <rPr>
            <sz val="9"/>
            <color indexed="81"/>
            <rFont val="Tahoma"/>
            <family val="2"/>
          </rPr>
          <t>20</t>
        </r>
        <r>
          <rPr>
            <sz val="9"/>
            <color indexed="81"/>
            <rFont val="돋움"/>
            <family val="3"/>
            <charset val="129"/>
          </rPr>
          <t>시간이</t>
        </r>
        <r>
          <rPr>
            <sz val="9"/>
            <color indexed="81"/>
            <rFont val="Tahoma"/>
            <family val="2"/>
          </rPr>
          <t xml:space="preserve"> </t>
        </r>
        <r>
          <rPr>
            <sz val="9"/>
            <color indexed="81"/>
            <rFont val="돋움"/>
            <family val="3"/>
            <charset val="129"/>
          </rPr>
          <t>안되었음</t>
        </r>
      </text>
    </comment>
    <comment ref="AS5" authorId="3" shapeId="0">
      <text>
        <r>
          <rPr>
            <b/>
            <sz val="9"/>
            <color indexed="81"/>
            <rFont val="돋움"/>
            <family val="3"/>
            <charset val="129"/>
          </rPr>
          <t>배우자</t>
        </r>
        <r>
          <rPr>
            <b/>
            <sz val="9"/>
            <color indexed="81"/>
            <rFont val="Tahoma"/>
            <family val="2"/>
          </rPr>
          <t xml:space="preserve">(40,000)*20/40
</t>
        </r>
        <r>
          <rPr>
            <b/>
            <sz val="9"/>
            <color indexed="81"/>
            <rFont val="돋움"/>
            <family val="3"/>
            <charset val="129"/>
          </rPr>
          <t>시모</t>
        </r>
        <r>
          <rPr>
            <b/>
            <sz val="9"/>
            <color indexed="81"/>
            <rFont val="Tahoma"/>
            <family val="2"/>
          </rPr>
          <t>(20,000)*20/40</t>
        </r>
      </text>
    </comment>
    <comment ref="BW5" authorId="3" shapeId="0">
      <text>
        <r>
          <rPr>
            <b/>
            <sz val="9"/>
            <color indexed="81"/>
            <rFont val="Tahoma"/>
            <family val="2"/>
          </rPr>
          <t>admin:</t>
        </r>
        <r>
          <rPr>
            <sz val="9"/>
            <color indexed="81"/>
            <rFont val="Tahoma"/>
            <family val="2"/>
          </rPr>
          <t xml:space="preserve">
</t>
        </r>
        <r>
          <rPr>
            <sz val="9"/>
            <color indexed="81"/>
            <rFont val="돋움"/>
            <family val="3"/>
            <charset val="129"/>
          </rPr>
          <t>이메일고지하여</t>
        </r>
        <r>
          <rPr>
            <sz val="9"/>
            <color indexed="81"/>
            <rFont val="Tahoma"/>
            <family val="2"/>
          </rPr>
          <t xml:space="preserve"> 200</t>
        </r>
        <r>
          <rPr>
            <sz val="9"/>
            <color indexed="81"/>
            <rFont val="돋움"/>
            <family val="3"/>
            <charset val="129"/>
          </rPr>
          <t>원</t>
        </r>
        <r>
          <rPr>
            <sz val="9"/>
            <color indexed="81"/>
            <rFont val="Tahoma"/>
            <family val="2"/>
          </rPr>
          <t xml:space="preserve"> </t>
        </r>
        <r>
          <rPr>
            <sz val="9"/>
            <color indexed="81"/>
            <rFont val="돋움"/>
            <family val="3"/>
            <charset val="129"/>
          </rPr>
          <t>감액됨</t>
        </r>
      </text>
    </comment>
    <comment ref="AS6" authorId="3" shapeId="0">
      <text>
        <r>
          <rPr>
            <b/>
            <sz val="9"/>
            <color indexed="81"/>
            <rFont val="돋움"/>
            <family val="3"/>
            <charset val="129"/>
          </rPr>
          <t>배우자(40,000)*25/40
시모(20,000)*25/40</t>
        </r>
      </text>
    </comment>
    <comment ref="AS7" authorId="3" shapeId="0">
      <text>
        <r>
          <rPr>
            <b/>
            <sz val="9"/>
            <color indexed="81"/>
            <rFont val="돋움"/>
            <family val="3"/>
            <charset val="129"/>
          </rPr>
          <t>배우자(40,000)</t>
        </r>
      </text>
    </comment>
    <comment ref="BG7" authorId="5" shapeId="0">
      <text>
        <r>
          <rPr>
            <b/>
            <sz val="9"/>
            <color indexed="81"/>
            <rFont val="Tahoma"/>
            <family val="2"/>
          </rPr>
          <t>- 2022.8</t>
        </r>
        <r>
          <rPr>
            <b/>
            <sz val="9"/>
            <color indexed="81"/>
            <rFont val="돋움"/>
            <family val="3"/>
            <charset val="129"/>
          </rPr>
          <t>월</t>
        </r>
        <r>
          <rPr>
            <b/>
            <sz val="9"/>
            <color indexed="81"/>
            <rFont val="Tahoma"/>
            <family val="2"/>
          </rPr>
          <t xml:space="preserve"> </t>
        </r>
        <r>
          <rPr>
            <b/>
            <sz val="9"/>
            <color indexed="81"/>
            <rFont val="돋움"/>
            <family val="3"/>
            <charset val="129"/>
          </rPr>
          <t xml:space="preserve">국민연금
</t>
        </r>
        <r>
          <rPr>
            <b/>
            <sz val="9"/>
            <color indexed="81"/>
            <rFont val="Tahoma"/>
            <family val="2"/>
          </rPr>
          <t xml:space="preserve">  </t>
        </r>
        <r>
          <rPr>
            <b/>
            <sz val="9"/>
            <color indexed="81"/>
            <rFont val="돋움"/>
            <family val="3"/>
            <charset val="129"/>
          </rPr>
          <t>부과여부</t>
        </r>
        <r>
          <rPr>
            <b/>
            <sz val="9"/>
            <color indexed="81"/>
            <rFont val="Tahoma"/>
            <family val="2"/>
          </rPr>
          <t xml:space="preserve"> </t>
        </r>
        <r>
          <rPr>
            <b/>
            <sz val="9"/>
            <color indexed="81"/>
            <rFont val="돋움"/>
            <family val="3"/>
            <charset val="129"/>
          </rPr>
          <t xml:space="preserve">문의할것
</t>
        </r>
        <r>
          <rPr>
            <b/>
            <sz val="9"/>
            <color indexed="81"/>
            <rFont val="Tahoma"/>
            <family val="2"/>
          </rPr>
          <t xml:space="preserve">  </t>
        </r>
        <r>
          <rPr>
            <b/>
            <sz val="9"/>
            <color indexed="81"/>
            <rFont val="돋움"/>
            <family val="3"/>
            <charset val="129"/>
          </rPr>
          <t>국민연금공단</t>
        </r>
      </text>
    </comment>
    <comment ref="AS8" authorId="3" shapeId="0">
      <text>
        <r>
          <rPr>
            <b/>
            <sz val="9"/>
            <color indexed="81"/>
            <rFont val="돋움"/>
            <family val="3"/>
            <charset val="129"/>
          </rPr>
          <t>배우자(40,000)</t>
        </r>
      </text>
    </comment>
    <comment ref="BW8" authorId="3" shapeId="0">
      <text>
        <r>
          <rPr>
            <b/>
            <sz val="9"/>
            <color indexed="81"/>
            <rFont val="Tahoma"/>
            <family val="2"/>
          </rPr>
          <t>9</t>
        </r>
        <r>
          <rPr>
            <b/>
            <sz val="9"/>
            <color indexed="81"/>
            <rFont val="돋움"/>
            <family val="3"/>
            <charset val="129"/>
          </rPr>
          <t>월</t>
        </r>
        <r>
          <rPr>
            <b/>
            <sz val="9"/>
            <color indexed="81"/>
            <rFont val="Tahoma"/>
            <family val="2"/>
          </rPr>
          <t xml:space="preserve"> </t>
        </r>
        <r>
          <rPr>
            <b/>
            <sz val="9"/>
            <color indexed="81"/>
            <rFont val="돋움"/>
            <family val="3"/>
            <charset val="129"/>
          </rPr>
          <t>미지급분</t>
        </r>
        <r>
          <rPr>
            <b/>
            <sz val="9"/>
            <color indexed="81"/>
            <rFont val="Tahoma"/>
            <family val="2"/>
          </rPr>
          <t xml:space="preserve"> </t>
        </r>
        <r>
          <rPr>
            <b/>
            <sz val="9"/>
            <color indexed="81"/>
            <rFont val="돋움"/>
            <family val="3"/>
            <charset val="129"/>
          </rPr>
          <t>추가</t>
        </r>
        <r>
          <rPr>
            <b/>
            <sz val="9"/>
            <color indexed="81"/>
            <rFont val="Tahoma"/>
            <family val="2"/>
          </rPr>
          <t xml:space="preserve"> </t>
        </r>
        <r>
          <rPr>
            <b/>
            <sz val="9"/>
            <color indexed="81"/>
            <rFont val="돋움"/>
            <family val="3"/>
            <charset val="129"/>
          </rPr>
          <t xml:space="preserve">합산지급
</t>
        </r>
        <r>
          <rPr>
            <b/>
            <sz val="9"/>
            <color indexed="81"/>
            <rFont val="Tahoma"/>
            <family val="2"/>
          </rPr>
          <t>5,530</t>
        </r>
        <r>
          <rPr>
            <b/>
            <sz val="9"/>
            <color indexed="81"/>
            <rFont val="돋움"/>
            <family val="3"/>
            <charset val="129"/>
          </rPr>
          <t>원</t>
        </r>
        <r>
          <rPr>
            <b/>
            <sz val="9"/>
            <color indexed="81"/>
            <rFont val="Tahoma"/>
            <family val="2"/>
          </rPr>
          <t>*2=11,060</t>
        </r>
        <r>
          <rPr>
            <b/>
            <sz val="9"/>
            <color indexed="81"/>
            <rFont val="돋움"/>
            <family val="3"/>
            <charset val="129"/>
          </rPr>
          <t>원</t>
        </r>
      </text>
    </comment>
    <comment ref="BW9" authorId="3" shapeId="0">
      <text>
        <r>
          <rPr>
            <b/>
            <sz val="9"/>
            <color indexed="81"/>
            <rFont val="Tahoma"/>
            <family val="2"/>
          </rPr>
          <t>9</t>
        </r>
        <r>
          <rPr>
            <b/>
            <sz val="9"/>
            <color indexed="81"/>
            <rFont val="돋움"/>
            <family val="3"/>
            <charset val="129"/>
          </rPr>
          <t>월</t>
        </r>
        <r>
          <rPr>
            <b/>
            <sz val="9"/>
            <color indexed="81"/>
            <rFont val="Tahoma"/>
            <family val="2"/>
          </rPr>
          <t xml:space="preserve"> </t>
        </r>
        <r>
          <rPr>
            <b/>
            <sz val="9"/>
            <color indexed="81"/>
            <rFont val="돋움"/>
            <family val="3"/>
            <charset val="129"/>
          </rPr>
          <t>미지급분</t>
        </r>
        <r>
          <rPr>
            <b/>
            <sz val="9"/>
            <color indexed="81"/>
            <rFont val="Tahoma"/>
            <family val="2"/>
          </rPr>
          <t xml:space="preserve"> </t>
        </r>
        <r>
          <rPr>
            <b/>
            <sz val="9"/>
            <color indexed="81"/>
            <rFont val="돋움"/>
            <family val="3"/>
            <charset val="129"/>
          </rPr>
          <t>추가</t>
        </r>
        <r>
          <rPr>
            <b/>
            <sz val="9"/>
            <color indexed="81"/>
            <rFont val="Tahoma"/>
            <family val="2"/>
          </rPr>
          <t xml:space="preserve"> </t>
        </r>
        <r>
          <rPr>
            <b/>
            <sz val="9"/>
            <color indexed="81"/>
            <rFont val="돋움"/>
            <family val="3"/>
            <charset val="129"/>
          </rPr>
          <t xml:space="preserve">합산지급
</t>
        </r>
        <r>
          <rPr>
            <b/>
            <sz val="9"/>
            <color indexed="81"/>
            <rFont val="Tahoma"/>
            <family val="2"/>
          </rPr>
          <t>2,610</t>
        </r>
        <r>
          <rPr>
            <b/>
            <sz val="9"/>
            <color indexed="81"/>
            <rFont val="돋움"/>
            <family val="3"/>
            <charset val="129"/>
          </rPr>
          <t>원</t>
        </r>
        <r>
          <rPr>
            <b/>
            <sz val="9"/>
            <color indexed="81"/>
            <rFont val="Tahoma"/>
            <family val="2"/>
          </rPr>
          <t>*2=5,220</t>
        </r>
        <r>
          <rPr>
            <b/>
            <sz val="9"/>
            <color indexed="81"/>
            <rFont val="돋움"/>
            <family val="3"/>
            <charset val="129"/>
          </rPr>
          <t>원</t>
        </r>
      </text>
    </comment>
    <comment ref="AS10" authorId="3" shapeId="0">
      <text>
        <r>
          <rPr>
            <b/>
            <sz val="9"/>
            <color indexed="81"/>
            <rFont val="돋움"/>
            <family val="3"/>
            <charset val="129"/>
          </rPr>
          <t>배우자</t>
        </r>
        <r>
          <rPr>
            <b/>
            <sz val="9"/>
            <color indexed="81"/>
            <rFont val="Tahoma"/>
            <family val="2"/>
          </rPr>
          <t>(40,000)</t>
        </r>
      </text>
    </comment>
    <comment ref="CG10" authorId="3" shapeId="0">
      <text>
        <r>
          <rPr>
            <b/>
            <sz val="9"/>
            <color indexed="81"/>
            <rFont val="Tahoma"/>
            <family val="2"/>
          </rPr>
          <t>admin:</t>
        </r>
        <r>
          <rPr>
            <sz val="9"/>
            <color indexed="81"/>
            <rFont val="Tahoma"/>
            <family val="2"/>
          </rPr>
          <t xml:space="preserve">
</t>
        </r>
        <r>
          <rPr>
            <sz val="9"/>
            <color indexed="81"/>
            <rFont val="돋움"/>
            <family val="3"/>
            <charset val="129"/>
          </rPr>
          <t>이미경</t>
        </r>
        <r>
          <rPr>
            <sz val="9"/>
            <color indexed="81"/>
            <rFont val="Tahoma"/>
            <family val="2"/>
          </rPr>
          <t xml:space="preserve"> -1780
</t>
        </r>
        <r>
          <rPr>
            <sz val="9"/>
            <color indexed="81"/>
            <rFont val="돋움"/>
            <family val="3"/>
            <charset val="129"/>
          </rPr>
          <t>김정근</t>
        </r>
        <r>
          <rPr>
            <sz val="9"/>
            <color indexed="81"/>
            <rFont val="Tahoma"/>
            <family val="2"/>
          </rPr>
          <t xml:space="preserve"> 7660
</t>
        </r>
        <r>
          <rPr>
            <sz val="9"/>
            <color indexed="81"/>
            <rFont val="돋움"/>
            <family val="3"/>
            <charset val="129"/>
          </rPr>
          <t xml:space="preserve">보수총액전자신고경감
</t>
        </r>
        <r>
          <rPr>
            <sz val="9"/>
            <color indexed="81"/>
            <rFont val="Tahoma"/>
            <family val="2"/>
          </rPr>
          <t xml:space="preserve">-5000
</t>
        </r>
        <r>
          <rPr>
            <sz val="9"/>
            <color indexed="81"/>
            <rFont val="돋움"/>
            <family val="3"/>
            <charset val="129"/>
          </rPr>
          <t>합계</t>
        </r>
        <r>
          <rPr>
            <sz val="9"/>
            <color indexed="81"/>
            <rFont val="Tahoma"/>
            <family val="2"/>
          </rPr>
          <t xml:space="preserve"> 880</t>
        </r>
      </text>
    </comment>
    <comment ref="AS12" authorId="2" shapeId="0">
      <text>
        <r>
          <rPr>
            <b/>
            <sz val="9"/>
            <color indexed="81"/>
            <rFont val="돋움"/>
            <family val="3"/>
            <charset val="129"/>
          </rPr>
          <t>배우자(40,000)*20/40</t>
        </r>
      </text>
    </comment>
    <comment ref="AP13" authorId="3" shapeId="0">
      <text>
        <r>
          <rPr>
            <b/>
            <sz val="9"/>
            <color indexed="81"/>
            <rFont val="돋움"/>
            <family val="3"/>
            <charset val="129"/>
          </rPr>
          <t>초과근무발생시</t>
        </r>
        <r>
          <rPr>
            <b/>
            <sz val="9"/>
            <color indexed="81"/>
            <rFont val="Tahoma"/>
            <family val="2"/>
          </rPr>
          <t xml:space="preserve"> </t>
        </r>
        <r>
          <rPr>
            <b/>
            <sz val="9"/>
            <color indexed="81"/>
            <rFont val="돋움"/>
            <family val="3"/>
            <charset val="129"/>
          </rPr>
          <t xml:space="preserve">산출기초
</t>
        </r>
        <r>
          <rPr>
            <b/>
            <sz val="9"/>
            <color indexed="81"/>
            <rFont val="Tahoma"/>
            <family val="2"/>
          </rPr>
          <t>(</t>
        </r>
        <r>
          <rPr>
            <b/>
            <sz val="9"/>
            <color indexed="81"/>
            <rFont val="돋움"/>
            <family val="3"/>
            <charset val="129"/>
          </rPr>
          <t>교원</t>
        </r>
        <r>
          <rPr>
            <b/>
            <sz val="9"/>
            <color indexed="81"/>
            <rFont val="Tahoma"/>
            <family val="2"/>
          </rPr>
          <t>10</t>
        </r>
        <r>
          <rPr>
            <b/>
            <sz val="9"/>
            <color indexed="81"/>
            <rFont val="돋움"/>
            <family val="3"/>
            <charset val="129"/>
          </rPr>
          <t>호봉</t>
        </r>
        <r>
          <rPr>
            <b/>
            <sz val="9"/>
            <color indexed="81"/>
            <rFont val="Tahoma"/>
            <family val="2"/>
          </rPr>
          <t xml:space="preserve"> </t>
        </r>
        <r>
          <rPr>
            <b/>
            <sz val="9"/>
            <color indexed="81"/>
            <rFont val="돋움"/>
            <family val="3"/>
            <charset val="129"/>
          </rPr>
          <t>시간당</t>
        </r>
        <r>
          <rPr>
            <b/>
            <sz val="9"/>
            <color indexed="81"/>
            <rFont val="Tahoma"/>
            <family val="2"/>
          </rPr>
          <t xml:space="preserve"> </t>
        </r>
        <r>
          <rPr>
            <b/>
            <sz val="9"/>
            <color indexed="81"/>
            <rFont val="돋움"/>
            <family val="3"/>
            <charset val="129"/>
          </rPr>
          <t>지급액</t>
        </r>
        <r>
          <rPr>
            <b/>
            <sz val="9"/>
            <color indexed="81"/>
            <rFont val="Tahoma"/>
            <family val="2"/>
          </rPr>
          <t xml:space="preserve"> 11,330</t>
        </r>
        <r>
          <rPr>
            <b/>
            <sz val="9"/>
            <color indexed="81"/>
            <rFont val="돋움"/>
            <family val="3"/>
            <charset val="129"/>
          </rPr>
          <t>원</t>
        </r>
        <r>
          <rPr>
            <b/>
            <sz val="9"/>
            <color indexed="81"/>
            <rFont val="Tahoma"/>
            <family val="2"/>
          </rPr>
          <t>)
11,330</t>
        </r>
        <r>
          <rPr>
            <b/>
            <sz val="9"/>
            <color indexed="81"/>
            <rFont val="돋움"/>
            <family val="3"/>
            <charset val="129"/>
          </rPr>
          <t>원</t>
        </r>
        <r>
          <rPr>
            <b/>
            <sz val="9"/>
            <color indexed="81"/>
            <rFont val="Tahoma"/>
            <family val="2"/>
          </rPr>
          <t>*</t>
        </r>
        <r>
          <rPr>
            <b/>
            <sz val="9"/>
            <color indexed="81"/>
            <rFont val="돋움"/>
            <family val="3"/>
            <charset val="129"/>
          </rPr>
          <t>초과근무시간</t>
        </r>
        <r>
          <rPr>
            <b/>
            <sz val="9"/>
            <color indexed="81"/>
            <rFont val="Tahoma"/>
            <family val="2"/>
          </rPr>
          <t>(2.5</t>
        </r>
        <r>
          <rPr>
            <b/>
            <sz val="9"/>
            <color indexed="81"/>
            <rFont val="돋움"/>
            <family val="3"/>
            <charset val="129"/>
          </rPr>
          <t>시간</t>
        </r>
        <r>
          <rPr>
            <b/>
            <sz val="9"/>
            <color indexed="81"/>
            <rFont val="Tahoma"/>
            <family val="2"/>
          </rPr>
          <t>)=28,320</t>
        </r>
        <r>
          <rPr>
            <b/>
            <sz val="9"/>
            <color indexed="81"/>
            <rFont val="돋움"/>
            <family val="3"/>
            <charset val="129"/>
          </rPr>
          <t>원</t>
        </r>
      </text>
    </comment>
    <comment ref="AQ13" authorId="0" shapeId="0">
      <text>
        <r>
          <rPr>
            <b/>
            <sz val="9"/>
            <color indexed="81"/>
            <rFont val="돋움"/>
            <family val="3"/>
            <charset val="129"/>
          </rPr>
          <t>통기타사랑</t>
        </r>
        <r>
          <rPr>
            <b/>
            <sz val="9"/>
            <color indexed="81"/>
            <rFont val="Tahoma"/>
            <family val="2"/>
          </rPr>
          <t>:</t>
        </r>
        <r>
          <rPr>
            <sz val="9"/>
            <color indexed="81"/>
            <rFont val="Tahoma"/>
            <family val="2"/>
          </rPr>
          <t xml:space="preserve">
</t>
        </r>
        <r>
          <rPr>
            <sz val="9"/>
            <color indexed="81"/>
            <rFont val="돋움"/>
            <family val="3"/>
            <charset val="129"/>
          </rPr>
          <t>기본급의</t>
        </r>
        <r>
          <rPr>
            <sz val="9"/>
            <color indexed="81"/>
            <rFont val="Tahoma"/>
            <family val="2"/>
          </rPr>
          <t xml:space="preserve"> 60%</t>
        </r>
      </text>
    </comment>
    <comment ref="AS13" authorId="3" shapeId="0">
      <text>
        <r>
          <rPr>
            <b/>
            <sz val="9"/>
            <color indexed="81"/>
            <rFont val="돋움"/>
            <family val="3"/>
            <charset val="129"/>
          </rPr>
          <t>배우자</t>
        </r>
        <r>
          <rPr>
            <b/>
            <sz val="9"/>
            <color indexed="81"/>
            <rFont val="Tahoma"/>
            <family val="2"/>
          </rPr>
          <t xml:space="preserve">(40,000)*20/40=20,000
</t>
        </r>
        <r>
          <rPr>
            <b/>
            <sz val="9"/>
            <color indexed="81"/>
            <rFont val="돋움"/>
            <family val="3"/>
            <charset val="129"/>
          </rPr>
          <t>자녀</t>
        </r>
        <r>
          <rPr>
            <b/>
            <sz val="9"/>
            <color indexed="81"/>
            <rFont val="Tahoma"/>
            <family val="2"/>
          </rPr>
          <t>1(</t>
        </r>
        <r>
          <rPr>
            <b/>
            <sz val="9"/>
            <color indexed="81"/>
            <rFont val="돋움"/>
            <family val="3"/>
            <charset val="129"/>
          </rPr>
          <t>셋째이상</t>
        </r>
        <r>
          <rPr>
            <b/>
            <sz val="9"/>
            <color indexed="81"/>
            <rFont val="Tahoma"/>
            <family val="2"/>
          </rPr>
          <t xml:space="preserve">)(030222)
(100,000)*20/40=50,000
</t>
        </r>
        <r>
          <rPr>
            <b/>
            <sz val="9"/>
            <color indexed="10"/>
            <rFont val="맑은 고딕"/>
            <family val="3"/>
            <charset val="129"/>
          </rPr>
          <t>2022.2월까지 지급</t>
        </r>
      </text>
    </comment>
    <comment ref="AV13" authorId="3" shapeId="0">
      <text>
        <r>
          <rPr>
            <b/>
            <sz val="9"/>
            <color indexed="81"/>
            <rFont val="Tahoma"/>
            <family val="2"/>
          </rPr>
          <t>2020</t>
        </r>
        <r>
          <rPr>
            <b/>
            <sz val="9"/>
            <color indexed="81"/>
            <rFont val="돋움"/>
            <family val="3"/>
            <charset val="129"/>
          </rPr>
          <t>년</t>
        </r>
        <r>
          <rPr>
            <b/>
            <sz val="9"/>
            <color indexed="81"/>
            <rFont val="Tahoma"/>
            <family val="2"/>
          </rPr>
          <t xml:space="preserve"> </t>
        </r>
        <r>
          <rPr>
            <b/>
            <sz val="9"/>
            <color indexed="81"/>
            <rFont val="돋움"/>
            <family val="3"/>
            <charset val="129"/>
          </rPr>
          <t>단체협약</t>
        </r>
        <r>
          <rPr>
            <b/>
            <sz val="9"/>
            <color indexed="81"/>
            <rFont val="Tahoma"/>
            <family val="2"/>
          </rPr>
          <t xml:space="preserve"> </t>
        </r>
        <r>
          <rPr>
            <b/>
            <sz val="9"/>
            <color indexed="81"/>
            <rFont val="돋움"/>
            <family val="3"/>
            <charset val="129"/>
          </rPr>
          <t>체결
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업무처리기준의</t>
        </r>
        <r>
          <rPr>
            <b/>
            <sz val="9"/>
            <color indexed="81"/>
            <rFont val="Tahoma"/>
            <family val="2"/>
          </rPr>
          <t xml:space="preserve"> </t>
        </r>
        <r>
          <rPr>
            <b/>
            <sz val="9"/>
            <color indexed="81"/>
            <rFont val="돋움"/>
            <family val="3"/>
            <charset val="129"/>
          </rPr>
          <t>대상자가</t>
        </r>
        <r>
          <rPr>
            <b/>
            <sz val="9"/>
            <color indexed="81"/>
            <rFont val="Tahoma"/>
            <family val="2"/>
          </rPr>
          <t xml:space="preserve"> </t>
        </r>
        <r>
          <rPr>
            <b/>
            <sz val="9"/>
            <color indexed="81"/>
            <rFont val="돋움"/>
            <family val="3"/>
            <charset val="129"/>
          </rPr>
          <t xml:space="preserve">아님
</t>
        </r>
        <r>
          <rPr>
            <b/>
            <sz val="9"/>
            <color indexed="81"/>
            <rFont val="Tahoma"/>
            <family val="2"/>
          </rPr>
          <t>(20</t>
        </r>
        <r>
          <rPr>
            <b/>
            <sz val="9"/>
            <color indexed="81"/>
            <rFont val="돋움"/>
            <family val="3"/>
            <charset val="129"/>
          </rPr>
          <t>시간근로자</t>
        </r>
        <r>
          <rPr>
            <b/>
            <sz val="9"/>
            <color indexed="81"/>
            <rFont val="Tahoma"/>
            <family val="2"/>
          </rPr>
          <t xml:space="preserve">)
</t>
        </r>
        <r>
          <rPr>
            <b/>
            <sz val="9"/>
            <color indexed="81"/>
            <rFont val="돋움"/>
            <family val="3"/>
            <charset val="129"/>
          </rPr>
          <t>반액지급</t>
        </r>
      </text>
    </comment>
    <comment ref="BW14" authorId="3" shapeId="0">
      <text>
        <r>
          <rPr>
            <b/>
            <sz val="9"/>
            <color indexed="81"/>
            <rFont val="Tahoma"/>
            <family val="2"/>
          </rPr>
          <t>admin:</t>
        </r>
        <r>
          <rPr>
            <sz val="9"/>
            <color indexed="81"/>
            <rFont val="Tahoma"/>
            <family val="2"/>
          </rPr>
          <t xml:space="preserve">
</t>
        </r>
        <r>
          <rPr>
            <sz val="9"/>
            <color indexed="81"/>
            <rFont val="돋움"/>
            <family val="3"/>
            <charset val="129"/>
          </rPr>
          <t>토마스</t>
        </r>
        <r>
          <rPr>
            <sz val="9"/>
            <color indexed="81"/>
            <rFont val="Tahoma"/>
            <family val="2"/>
          </rPr>
          <t xml:space="preserve"> 3</t>
        </r>
        <r>
          <rPr>
            <sz val="9"/>
            <color indexed="81"/>
            <rFont val="돋움"/>
            <family val="3"/>
            <charset val="129"/>
          </rPr>
          <t>월</t>
        </r>
        <r>
          <rPr>
            <sz val="9"/>
            <color indexed="81"/>
            <rFont val="Tahoma"/>
            <family val="2"/>
          </rPr>
          <t xml:space="preserve"> </t>
        </r>
        <r>
          <rPr>
            <sz val="9"/>
            <color indexed="81"/>
            <rFont val="돋움"/>
            <family val="3"/>
            <charset val="129"/>
          </rPr>
          <t>개인</t>
        </r>
        <r>
          <rPr>
            <sz val="9"/>
            <color indexed="81"/>
            <rFont val="Tahoma"/>
            <family val="2"/>
          </rPr>
          <t xml:space="preserve">, </t>
        </r>
        <r>
          <rPr>
            <sz val="9"/>
            <color indexed="81"/>
            <rFont val="돋움"/>
            <family val="3"/>
            <charset val="129"/>
          </rPr>
          <t>학교</t>
        </r>
        <r>
          <rPr>
            <sz val="9"/>
            <color indexed="81"/>
            <rFont val="Tahoma"/>
            <family val="2"/>
          </rPr>
          <t xml:space="preserve"> </t>
        </r>
        <r>
          <rPr>
            <sz val="9"/>
            <color indexed="81"/>
            <rFont val="돋움"/>
            <family val="3"/>
            <charset val="129"/>
          </rPr>
          <t>각</t>
        </r>
        <r>
          <rPr>
            <sz val="9"/>
            <color indexed="81"/>
            <rFont val="Tahoma"/>
            <family val="2"/>
          </rPr>
          <t xml:space="preserve"> 130180</t>
        </r>
        <r>
          <rPr>
            <sz val="9"/>
            <color indexed="81"/>
            <rFont val="돋움"/>
            <family val="3"/>
            <charset val="129"/>
          </rPr>
          <t xml:space="preserve">원
</t>
        </r>
        <r>
          <rPr>
            <sz val="9"/>
            <color indexed="81"/>
            <rFont val="Tahoma"/>
            <family val="2"/>
          </rPr>
          <t>4</t>
        </r>
        <r>
          <rPr>
            <sz val="9"/>
            <color indexed="81"/>
            <rFont val="돋움"/>
            <family val="3"/>
            <charset val="129"/>
          </rPr>
          <t>월</t>
        </r>
        <r>
          <rPr>
            <sz val="9"/>
            <color indexed="81"/>
            <rFont val="Tahoma"/>
            <family val="2"/>
          </rPr>
          <t xml:space="preserve"> </t>
        </r>
        <r>
          <rPr>
            <sz val="9"/>
            <color indexed="81"/>
            <rFont val="돋움"/>
            <family val="3"/>
            <charset val="129"/>
          </rPr>
          <t>정산되었음</t>
        </r>
        <r>
          <rPr>
            <sz val="9"/>
            <color indexed="81"/>
            <rFont val="Tahoma"/>
            <family val="2"/>
          </rPr>
          <t xml:space="preserve"> 
(</t>
        </r>
        <r>
          <rPr>
            <sz val="9"/>
            <color indexed="81"/>
            <rFont val="돋움"/>
            <family val="3"/>
            <charset val="129"/>
          </rPr>
          <t>토마스</t>
        </r>
        <r>
          <rPr>
            <sz val="9"/>
            <color indexed="81"/>
            <rFont val="Tahoma"/>
            <family val="2"/>
          </rPr>
          <t xml:space="preserve"> 4</t>
        </r>
        <r>
          <rPr>
            <sz val="9"/>
            <color indexed="81"/>
            <rFont val="돋움"/>
            <family val="3"/>
            <charset val="129"/>
          </rPr>
          <t>월</t>
        </r>
        <r>
          <rPr>
            <sz val="9"/>
            <color indexed="81"/>
            <rFont val="Tahoma"/>
            <family val="2"/>
          </rPr>
          <t xml:space="preserve"> -260,360)
</t>
        </r>
        <r>
          <rPr>
            <sz val="9"/>
            <color indexed="81"/>
            <rFont val="돋움"/>
            <family val="3"/>
            <charset val="129"/>
          </rPr>
          <t>아리엘</t>
        </r>
        <r>
          <rPr>
            <sz val="9"/>
            <color indexed="81"/>
            <rFont val="Tahoma"/>
            <family val="2"/>
          </rPr>
          <t xml:space="preserve"> 3</t>
        </r>
        <r>
          <rPr>
            <sz val="9"/>
            <color indexed="81"/>
            <rFont val="돋움"/>
            <family val="3"/>
            <charset val="129"/>
          </rPr>
          <t>월</t>
        </r>
        <r>
          <rPr>
            <sz val="9"/>
            <color indexed="81"/>
            <rFont val="Tahoma"/>
            <family val="2"/>
          </rPr>
          <t xml:space="preserve"> </t>
        </r>
        <r>
          <rPr>
            <sz val="9"/>
            <color indexed="81"/>
            <rFont val="돋움"/>
            <family val="3"/>
            <charset val="129"/>
          </rPr>
          <t>학교부담</t>
        </r>
        <r>
          <rPr>
            <sz val="9"/>
            <color indexed="81"/>
            <rFont val="Tahoma"/>
            <family val="2"/>
          </rPr>
          <t xml:space="preserve"> 156,860</t>
        </r>
        <r>
          <rPr>
            <sz val="9"/>
            <color indexed="81"/>
            <rFont val="돋움"/>
            <family val="3"/>
            <charset val="129"/>
          </rPr>
          <t>원
아리엘</t>
        </r>
        <r>
          <rPr>
            <sz val="9"/>
            <color indexed="81"/>
            <rFont val="Tahoma"/>
            <family val="2"/>
          </rPr>
          <t xml:space="preserve"> 3,4</t>
        </r>
        <r>
          <rPr>
            <sz val="9"/>
            <color indexed="81"/>
            <rFont val="돋움"/>
            <family val="3"/>
            <charset val="129"/>
          </rPr>
          <t>월</t>
        </r>
        <r>
          <rPr>
            <sz val="9"/>
            <color indexed="81"/>
            <rFont val="Tahoma"/>
            <family val="2"/>
          </rPr>
          <t xml:space="preserve"> </t>
        </r>
        <r>
          <rPr>
            <sz val="9"/>
            <color indexed="81"/>
            <rFont val="돋움"/>
            <family val="3"/>
            <charset val="129"/>
          </rPr>
          <t>각</t>
        </r>
        <r>
          <rPr>
            <sz val="9"/>
            <color indexed="81"/>
            <rFont val="Tahoma"/>
            <family val="2"/>
          </rPr>
          <t xml:space="preserve"> 114,340</t>
        </r>
        <r>
          <rPr>
            <sz val="9"/>
            <color indexed="81"/>
            <rFont val="돋움"/>
            <family val="3"/>
            <charset val="129"/>
          </rPr>
          <t>원
학교부담금</t>
        </r>
        <r>
          <rPr>
            <sz val="9"/>
            <color indexed="81"/>
            <rFont val="Tahoma"/>
            <family val="2"/>
          </rPr>
          <t xml:space="preserve"> 71820</t>
        </r>
        <r>
          <rPr>
            <sz val="9"/>
            <color indexed="81"/>
            <rFont val="돋움"/>
            <family val="3"/>
            <charset val="129"/>
          </rPr>
          <t xml:space="preserve">원
</t>
        </r>
        <r>
          <rPr>
            <sz val="9"/>
            <color indexed="81"/>
            <rFont val="Tahoma"/>
            <family val="2"/>
          </rPr>
          <t>5</t>
        </r>
        <r>
          <rPr>
            <sz val="9"/>
            <color indexed="81"/>
            <rFont val="돋움"/>
            <family val="3"/>
            <charset val="129"/>
          </rPr>
          <t>월도</t>
        </r>
        <r>
          <rPr>
            <sz val="9"/>
            <color indexed="81"/>
            <rFont val="Tahoma"/>
            <family val="2"/>
          </rPr>
          <t xml:space="preserve"> 114340, </t>
        </r>
        <r>
          <rPr>
            <sz val="9"/>
            <color indexed="81"/>
            <rFont val="돋움"/>
            <family val="3"/>
            <charset val="129"/>
          </rPr>
          <t>앞으로도</t>
        </r>
      </text>
    </comment>
  </commentList>
</comments>
</file>

<file path=xl/comments2.xml><?xml version="1.0" encoding="utf-8"?>
<comments xmlns="http://schemas.openxmlformats.org/spreadsheetml/2006/main">
  <authors>
    <author>통기타사랑,리듬느낌</author>
  </authors>
  <commentList>
    <comment ref="J3" authorId="0"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근로자의날</t>
        </r>
        <r>
          <rPr>
            <sz val="9"/>
            <color indexed="81"/>
            <rFont val="Tahoma"/>
            <family val="2"/>
          </rPr>
          <t>/</t>
        </r>
        <r>
          <rPr>
            <sz val="9"/>
            <color indexed="81"/>
            <rFont val="돋움"/>
            <family val="3"/>
            <charset val="129"/>
          </rPr>
          <t>시간외근무수당</t>
        </r>
      </text>
    </comment>
  </commentList>
</comments>
</file>

<file path=xl/comments3.xml><?xml version="1.0" encoding="utf-8"?>
<comments xmlns="http://schemas.openxmlformats.org/spreadsheetml/2006/main">
  <authors>
    <author>admin</author>
  </authors>
  <commentList>
    <comment ref="V8" authorId="0" shapeId="0">
      <text>
        <r>
          <rPr>
            <b/>
            <sz val="9"/>
            <color indexed="81"/>
            <rFont val="Tahoma"/>
            <family val="2"/>
          </rPr>
          <t>admin:</t>
        </r>
        <r>
          <rPr>
            <sz val="9"/>
            <color indexed="81"/>
            <rFont val="Tahoma"/>
            <family val="2"/>
          </rPr>
          <t xml:space="preserve">
admin:
</t>
        </r>
        <r>
          <rPr>
            <sz val="9"/>
            <color indexed="81"/>
            <rFont val="돋움"/>
            <family val="3"/>
            <charset val="129"/>
          </rPr>
          <t>양영숙</t>
        </r>
        <r>
          <rPr>
            <sz val="9"/>
            <color indexed="81"/>
            <rFont val="Tahoma"/>
            <family val="2"/>
          </rPr>
          <t xml:space="preserve"> 2</t>
        </r>
        <r>
          <rPr>
            <sz val="9"/>
            <color indexed="81"/>
            <rFont val="돋움"/>
            <family val="3"/>
            <charset val="129"/>
          </rPr>
          <t>월</t>
        </r>
        <r>
          <rPr>
            <sz val="9"/>
            <color indexed="81"/>
            <rFont val="Tahoma"/>
            <family val="2"/>
          </rPr>
          <t xml:space="preserve"> </t>
        </r>
        <r>
          <rPr>
            <sz val="9"/>
            <color indexed="81"/>
            <rFont val="돋움"/>
            <family val="3"/>
            <charset val="129"/>
          </rPr>
          <t>개인보험료</t>
        </r>
        <r>
          <rPr>
            <sz val="9"/>
            <color indexed="81"/>
            <rFont val="Tahoma"/>
            <family val="2"/>
          </rPr>
          <t xml:space="preserve"> 219,070, </t>
        </r>
        <r>
          <rPr>
            <sz val="9"/>
            <color indexed="81"/>
            <rFont val="돋움"/>
            <family val="3"/>
            <charset val="129"/>
          </rPr>
          <t>실수령액</t>
        </r>
        <r>
          <rPr>
            <sz val="9"/>
            <color indexed="81"/>
            <rFont val="Tahoma"/>
            <family val="2"/>
          </rPr>
          <t xml:space="preserve"> -151,560
3</t>
        </r>
        <r>
          <rPr>
            <sz val="9"/>
            <color indexed="81"/>
            <rFont val="돋움"/>
            <family val="3"/>
            <charset val="129"/>
          </rPr>
          <t>월</t>
        </r>
        <r>
          <rPr>
            <sz val="9"/>
            <color indexed="81"/>
            <rFont val="Tahoma"/>
            <family val="2"/>
          </rPr>
          <t xml:space="preserve"> </t>
        </r>
        <r>
          <rPr>
            <sz val="9"/>
            <color indexed="81"/>
            <rFont val="돋움"/>
            <family val="3"/>
            <charset val="129"/>
          </rPr>
          <t>개인보험료</t>
        </r>
        <r>
          <rPr>
            <sz val="9"/>
            <color indexed="81"/>
            <rFont val="Tahoma"/>
            <family val="2"/>
          </rPr>
          <t>: 2</t>
        </r>
        <r>
          <rPr>
            <sz val="9"/>
            <color indexed="81"/>
            <rFont val="돋움"/>
            <family val="3"/>
            <charset val="129"/>
          </rPr>
          <t>월</t>
        </r>
        <r>
          <rPr>
            <sz val="9"/>
            <color indexed="81"/>
            <rFont val="Tahoma"/>
            <family val="2"/>
          </rPr>
          <t xml:space="preserve"> </t>
        </r>
        <r>
          <rPr>
            <sz val="9"/>
            <color indexed="81"/>
            <rFont val="돋움"/>
            <family val="3"/>
            <charset val="129"/>
          </rPr>
          <t>정산금</t>
        </r>
        <r>
          <rPr>
            <sz val="9"/>
            <color indexed="81"/>
            <rFont val="Tahoma"/>
            <family val="2"/>
          </rPr>
          <t xml:space="preserve"> -116,950
</t>
        </r>
        <r>
          <rPr>
            <sz val="9"/>
            <color indexed="81"/>
            <rFont val="돋움"/>
            <family val="3"/>
            <charset val="129"/>
          </rPr>
          <t>차액</t>
        </r>
        <r>
          <rPr>
            <sz val="9"/>
            <color indexed="81"/>
            <rFont val="Tahoma"/>
            <family val="2"/>
          </rPr>
          <t xml:space="preserve"> 34,610</t>
        </r>
        <r>
          <rPr>
            <sz val="9"/>
            <color indexed="81"/>
            <rFont val="돋움"/>
            <family val="3"/>
            <charset val="129"/>
          </rPr>
          <t>원은</t>
        </r>
        <r>
          <rPr>
            <sz val="9"/>
            <color indexed="81"/>
            <rFont val="Tahoma"/>
            <family val="2"/>
          </rPr>
          <t xml:space="preserve"> </t>
        </r>
        <r>
          <rPr>
            <sz val="9"/>
            <color indexed="81"/>
            <rFont val="돋움"/>
            <family val="3"/>
            <charset val="129"/>
          </rPr>
          <t>복직시</t>
        </r>
        <r>
          <rPr>
            <sz val="9"/>
            <color indexed="81"/>
            <rFont val="Tahoma"/>
            <family val="2"/>
          </rPr>
          <t xml:space="preserve"> </t>
        </r>
        <r>
          <rPr>
            <sz val="9"/>
            <color indexed="81"/>
            <rFont val="돋움"/>
            <family val="3"/>
            <charset val="129"/>
          </rPr>
          <t>공제해야함</t>
        </r>
      </text>
    </comment>
    <comment ref="V9" authorId="0" shapeId="0">
      <text>
        <r>
          <rPr>
            <b/>
            <sz val="9"/>
            <color indexed="81"/>
            <rFont val="Tahoma"/>
            <family val="2"/>
          </rPr>
          <t>admin:</t>
        </r>
        <r>
          <rPr>
            <sz val="9"/>
            <color indexed="81"/>
            <rFont val="Tahoma"/>
            <family val="2"/>
          </rPr>
          <t xml:space="preserve">
admin:
</t>
        </r>
        <r>
          <rPr>
            <sz val="9"/>
            <color indexed="81"/>
            <rFont val="돋움"/>
            <family val="3"/>
            <charset val="129"/>
          </rPr>
          <t>양영숙</t>
        </r>
        <r>
          <rPr>
            <sz val="9"/>
            <color indexed="81"/>
            <rFont val="Tahoma"/>
            <family val="2"/>
          </rPr>
          <t xml:space="preserve"> 2</t>
        </r>
        <r>
          <rPr>
            <sz val="9"/>
            <color indexed="81"/>
            <rFont val="돋움"/>
            <family val="3"/>
            <charset val="129"/>
          </rPr>
          <t>월</t>
        </r>
        <r>
          <rPr>
            <sz val="9"/>
            <color indexed="81"/>
            <rFont val="Tahoma"/>
            <family val="2"/>
          </rPr>
          <t xml:space="preserve"> </t>
        </r>
        <r>
          <rPr>
            <sz val="9"/>
            <color indexed="81"/>
            <rFont val="돋움"/>
            <family val="3"/>
            <charset val="129"/>
          </rPr>
          <t>개인보험료</t>
        </r>
        <r>
          <rPr>
            <sz val="9"/>
            <color indexed="81"/>
            <rFont val="Tahoma"/>
            <family val="2"/>
          </rPr>
          <t xml:space="preserve"> 219,070, </t>
        </r>
        <r>
          <rPr>
            <sz val="9"/>
            <color indexed="81"/>
            <rFont val="돋움"/>
            <family val="3"/>
            <charset val="129"/>
          </rPr>
          <t>실수령액</t>
        </r>
        <r>
          <rPr>
            <sz val="9"/>
            <color indexed="81"/>
            <rFont val="Tahoma"/>
            <family val="2"/>
          </rPr>
          <t xml:space="preserve"> -151,560
3</t>
        </r>
        <r>
          <rPr>
            <sz val="9"/>
            <color indexed="81"/>
            <rFont val="돋움"/>
            <family val="3"/>
            <charset val="129"/>
          </rPr>
          <t>월</t>
        </r>
        <r>
          <rPr>
            <sz val="9"/>
            <color indexed="81"/>
            <rFont val="Tahoma"/>
            <family val="2"/>
          </rPr>
          <t xml:space="preserve"> </t>
        </r>
        <r>
          <rPr>
            <sz val="9"/>
            <color indexed="81"/>
            <rFont val="돋움"/>
            <family val="3"/>
            <charset val="129"/>
          </rPr>
          <t>개인보험료</t>
        </r>
        <r>
          <rPr>
            <sz val="9"/>
            <color indexed="81"/>
            <rFont val="Tahoma"/>
            <family val="2"/>
          </rPr>
          <t>: 2</t>
        </r>
        <r>
          <rPr>
            <sz val="9"/>
            <color indexed="81"/>
            <rFont val="돋움"/>
            <family val="3"/>
            <charset val="129"/>
          </rPr>
          <t>월</t>
        </r>
        <r>
          <rPr>
            <sz val="9"/>
            <color indexed="81"/>
            <rFont val="Tahoma"/>
            <family val="2"/>
          </rPr>
          <t xml:space="preserve"> </t>
        </r>
        <r>
          <rPr>
            <sz val="9"/>
            <color indexed="81"/>
            <rFont val="돋움"/>
            <family val="3"/>
            <charset val="129"/>
          </rPr>
          <t>정산금</t>
        </r>
        <r>
          <rPr>
            <sz val="9"/>
            <color indexed="81"/>
            <rFont val="Tahoma"/>
            <family val="2"/>
          </rPr>
          <t xml:space="preserve"> -116,950
</t>
        </r>
        <r>
          <rPr>
            <sz val="9"/>
            <color indexed="81"/>
            <rFont val="돋움"/>
            <family val="3"/>
            <charset val="129"/>
          </rPr>
          <t>차액</t>
        </r>
        <r>
          <rPr>
            <sz val="9"/>
            <color indexed="81"/>
            <rFont val="Tahoma"/>
            <family val="2"/>
          </rPr>
          <t xml:space="preserve"> 34,610</t>
        </r>
        <r>
          <rPr>
            <sz val="9"/>
            <color indexed="81"/>
            <rFont val="돋움"/>
            <family val="3"/>
            <charset val="129"/>
          </rPr>
          <t>원은</t>
        </r>
        <r>
          <rPr>
            <sz val="9"/>
            <color indexed="81"/>
            <rFont val="Tahoma"/>
            <family val="2"/>
          </rPr>
          <t xml:space="preserve"> </t>
        </r>
        <r>
          <rPr>
            <sz val="9"/>
            <color indexed="81"/>
            <rFont val="돋움"/>
            <family val="3"/>
            <charset val="129"/>
          </rPr>
          <t>복직시</t>
        </r>
        <r>
          <rPr>
            <sz val="9"/>
            <color indexed="81"/>
            <rFont val="Tahoma"/>
            <family val="2"/>
          </rPr>
          <t xml:space="preserve"> </t>
        </r>
        <r>
          <rPr>
            <sz val="9"/>
            <color indexed="81"/>
            <rFont val="돋움"/>
            <family val="3"/>
            <charset val="129"/>
          </rPr>
          <t>공제해야함</t>
        </r>
      </text>
    </comment>
  </commentList>
</comments>
</file>

<file path=xl/comments4.xml><?xml version="1.0" encoding="utf-8"?>
<comments xmlns="http://schemas.openxmlformats.org/spreadsheetml/2006/main">
  <authors>
    <author>user</author>
  </authors>
  <commentList>
    <comment ref="B10" authorId="0" shapeId="0">
      <text>
        <r>
          <rPr>
            <b/>
            <sz val="11"/>
            <color indexed="81"/>
            <rFont val="맑은 고딕"/>
            <family val="3"/>
            <charset val="129"/>
            <scheme val="minor"/>
          </rPr>
          <t>※ 기본급, 연장·야간·휴일근로수당, 가족수당 등 임금을 구성하는
모든 항목을 포함해야하며, 그 금액도 기재해야함</t>
        </r>
      </text>
    </comment>
    <comment ref="F10" authorId="0" shapeId="0">
      <text>
        <r>
          <rPr>
            <b/>
            <sz val="11"/>
            <color indexed="81"/>
            <rFont val="맑은 고딕"/>
            <family val="3"/>
            <charset val="129"/>
            <scheme val="minor"/>
          </rPr>
          <t>※ 근로소득세 세율, 사회보험료의 보험요율에 대해서는
관련 법률에서 규정하고 있으므로,
그 계산 방법을 기재하지 않을 수도 있음</t>
        </r>
        <r>
          <rPr>
            <sz val="9"/>
            <color indexed="81"/>
            <rFont val="Tahoma"/>
            <family val="2"/>
          </rPr>
          <t xml:space="preserve">
</t>
        </r>
      </text>
    </comment>
    <comment ref="D35" authorId="0" shapeId="0">
      <text>
        <r>
          <rPr>
            <b/>
            <sz val="11"/>
            <color indexed="81"/>
            <rFont val="맑은 고딕"/>
            <family val="3"/>
            <charset val="129"/>
            <scheme val="minor"/>
          </rPr>
          <t>※ 임금항목 중 출근일수·시간 등에 따라 금액이 달라지는 경우 그 계산방법을 기재</t>
        </r>
      </text>
    </comment>
  </commentList>
</comments>
</file>

<file path=xl/comments5.xml><?xml version="1.0" encoding="utf-8"?>
<comments xmlns="http://schemas.openxmlformats.org/spreadsheetml/2006/main">
  <authors>
    <author>user</author>
    <author>통기타사랑,리듬느낌</author>
    <author>통기타사랑</author>
    <author>admin</author>
  </authors>
  <commentList>
    <comment ref="BC1" authorId="0" shapeId="0">
      <text>
        <r>
          <rPr>
            <b/>
            <sz val="9"/>
            <color indexed="81"/>
            <rFont val="돋움"/>
            <family val="3"/>
            <charset val="129"/>
          </rPr>
          <t xml:space="preserve">국민연금
</t>
        </r>
        <r>
          <rPr>
            <sz val="9"/>
            <color indexed="81"/>
            <rFont val="돋움"/>
            <family val="3"/>
            <charset val="129"/>
          </rPr>
          <t>매년</t>
        </r>
        <r>
          <rPr>
            <sz val="9"/>
            <color indexed="81"/>
            <rFont val="Tahoma"/>
            <family val="2"/>
          </rPr>
          <t>7</t>
        </r>
        <r>
          <rPr>
            <sz val="9"/>
            <color indexed="81"/>
            <rFont val="돋움"/>
            <family val="3"/>
            <charset val="129"/>
          </rPr>
          <t>월에</t>
        </r>
        <r>
          <rPr>
            <sz val="9"/>
            <color indexed="81"/>
            <rFont val="Tahoma"/>
            <family val="2"/>
          </rPr>
          <t xml:space="preserve"> </t>
        </r>
        <r>
          <rPr>
            <sz val="9"/>
            <color indexed="81"/>
            <rFont val="돋움"/>
            <family val="3"/>
            <charset val="129"/>
          </rPr>
          <t>보험료</t>
        </r>
        <r>
          <rPr>
            <sz val="9"/>
            <color indexed="81"/>
            <rFont val="Tahoma"/>
            <family val="2"/>
          </rPr>
          <t xml:space="preserve"> </t>
        </r>
        <r>
          <rPr>
            <sz val="9"/>
            <color indexed="81"/>
            <rFont val="돋움"/>
            <family val="3"/>
            <charset val="129"/>
          </rPr>
          <t xml:space="preserve">변경
</t>
        </r>
        <r>
          <rPr>
            <sz val="9"/>
            <color indexed="81"/>
            <rFont val="Tahoma"/>
            <family val="2"/>
          </rPr>
          <t xml:space="preserve"> - </t>
        </r>
        <r>
          <rPr>
            <sz val="9"/>
            <color indexed="81"/>
            <rFont val="돋움"/>
            <family val="3"/>
            <charset val="129"/>
          </rPr>
          <t>기준소득월액</t>
        </r>
      </text>
    </comment>
    <comment ref="BK1" authorId="1"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고용보험</t>
        </r>
        <r>
          <rPr>
            <sz val="9"/>
            <color indexed="81"/>
            <rFont val="Tahoma"/>
            <family val="2"/>
          </rPr>
          <t xml:space="preserve"> </t>
        </r>
        <r>
          <rPr>
            <sz val="9"/>
            <color indexed="81"/>
            <rFont val="돋움"/>
            <family val="3"/>
            <charset val="129"/>
          </rPr>
          <t>실업급여</t>
        </r>
        <r>
          <rPr>
            <sz val="9"/>
            <color indexed="81"/>
            <rFont val="Tahoma"/>
            <family val="2"/>
          </rPr>
          <t xml:space="preserve"> </t>
        </r>
        <r>
          <rPr>
            <sz val="9"/>
            <color indexed="81"/>
            <rFont val="돋움"/>
            <family val="3"/>
            <charset val="129"/>
          </rPr>
          <t>보험요율이</t>
        </r>
        <r>
          <rPr>
            <sz val="9"/>
            <color indexed="81"/>
            <rFont val="Tahoma"/>
            <family val="2"/>
          </rPr>
          <t xml:space="preserve"> 2019.10.01.</t>
        </r>
        <r>
          <rPr>
            <sz val="9"/>
            <color indexed="81"/>
            <rFont val="돋움"/>
            <family val="3"/>
            <charset val="129"/>
          </rPr>
          <t>부터</t>
        </r>
        <r>
          <rPr>
            <sz val="9"/>
            <color indexed="81"/>
            <rFont val="Tahoma"/>
            <family val="2"/>
          </rPr>
          <t xml:space="preserve"> 
1.3</t>
        </r>
        <r>
          <rPr>
            <sz val="9"/>
            <color indexed="81"/>
            <rFont val="돋움"/>
            <family val="3"/>
            <charset val="129"/>
          </rPr>
          <t>에서</t>
        </r>
        <r>
          <rPr>
            <sz val="9"/>
            <color indexed="81"/>
            <rFont val="Tahoma"/>
            <family val="2"/>
          </rPr>
          <t xml:space="preserve"> 1.6%</t>
        </r>
        <r>
          <rPr>
            <sz val="9"/>
            <color indexed="81"/>
            <rFont val="돋움"/>
            <family val="3"/>
            <charset val="129"/>
          </rPr>
          <t>로</t>
        </r>
        <r>
          <rPr>
            <sz val="9"/>
            <color indexed="81"/>
            <rFont val="Tahoma"/>
            <family val="2"/>
          </rPr>
          <t xml:space="preserve"> </t>
        </r>
        <r>
          <rPr>
            <sz val="9"/>
            <color indexed="81"/>
            <rFont val="돋움"/>
            <family val="3"/>
            <charset val="129"/>
          </rPr>
          <t xml:space="preserve">인상됨
</t>
        </r>
        <r>
          <rPr>
            <sz val="9"/>
            <color indexed="81"/>
            <rFont val="Tahoma"/>
            <family val="2"/>
          </rPr>
          <t>(</t>
        </r>
        <r>
          <rPr>
            <sz val="9"/>
            <color indexed="81"/>
            <rFont val="돋움"/>
            <family val="3"/>
            <charset val="129"/>
          </rPr>
          <t>사업주</t>
        </r>
        <r>
          <rPr>
            <sz val="9"/>
            <color indexed="81"/>
            <rFont val="Tahoma"/>
            <family val="2"/>
          </rPr>
          <t>,</t>
        </r>
        <r>
          <rPr>
            <sz val="9"/>
            <color indexed="81"/>
            <rFont val="돋움"/>
            <family val="3"/>
            <charset val="129"/>
          </rPr>
          <t>근로자</t>
        </r>
        <r>
          <rPr>
            <sz val="9"/>
            <color indexed="81"/>
            <rFont val="Tahoma"/>
            <family val="2"/>
          </rPr>
          <t xml:space="preserve"> </t>
        </r>
        <r>
          <rPr>
            <sz val="9"/>
            <color indexed="81"/>
            <rFont val="돋움"/>
            <family val="3"/>
            <charset val="129"/>
          </rPr>
          <t>각각</t>
        </r>
        <r>
          <rPr>
            <sz val="9"/>
            <color indexed="81"/>
            <rFont val="Tahoma"/>
            <family val="2"/>
          </rPr>
          <t xml:space="preserve"> 0.8%)</t>
        </r>
      </text>
    </comment>
    <comment ref="G2" authorId="0" shapeId="0">
      <text>
        <r>
          <rPr>
            <sz val="10"/>
            <color indexed="81"/>
            <rFont val="굴림"/>
            <family val="3"/>
            <charset val="129"/>
          </rPr>
          <t>365일
366일 확인할것</t>
        </r>
      </text>
    </comment>
    <comment ref="AA2" authorId="2" shapeId="0">
      <text>
        <r>
          <rPr>
            <sz val="10"/>
            <color indexed="81"/>
            <rFont val="굴림"/>
            <family val="3"/>
            <charset val="129"/>
          </rPr>
          <t>2월이 28일인지
29일인지 확인할것</t>
        </r>
      </text>
    </comment>
    <comment ref="AO2" authorId="1"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3</t>
        </r>
        <r>
          <rPr>
            <sz val="9"/>
            <color indexed="81"/>
            <rFont val="돋움"/>
            <family val="3"/>
            <charset val="129"/>
          </rPr>
          <t>월</t>
        </r>
        <r>
          <rPr>
            <sz val="9"/>
            <color indexed="81"/>
            <rFont val="Tahoma"/>
            <family val="2"/>
          </rPr>
          <t>,9</t>
        </r>
        <r>
          <rPr>
            <sz val="9"/>
            <color indexed="81"/>
            <rFont val="돋움"/>
            <family val="3"/>
            <charset val="129"/>
          </rPr>
          <t>월</t>
        </r>
        <r>
          <rPr>
            <sz val="9"/>
            <color indexed="81"/>
            <rFont val="Tahoma"/>
            <family val="2"/>
          </rPr>
          <t xml:space="preserve"> </t>
        </r>
        <r>
          <rPr>
            <sz val="9"/>
            <color indexed="81"/>
            <rFont val="돋움"/>
            <family val="3"/>
            <charset val="129"/>
          </rPr>
          <t xml:space="preserve">기준으로
</t>
        </r>
        <r>
          <rPr>
            <sz val="9"/>
            <color indexed="81"/>
            <rFont val="Tahoma"/>
            <family val="2"/>
          </rPr>
          <t>0</t>
        </r>
        <r>
          <rPr>
            <sz val="9"/>
            <color indexed="81"/>
            <rFont val="돋움"/>
            <family val="3"/>
            <charset val="129"/>
          </rPr>
          <t>년</t>
        </r>
        <r>
          <rPr>
            <sz val="9"/>
            <color indexed="81"/>
            <rFont val="Tahoma"/>
            <family val="2"/>
          </rPr>
          <t xml:space="preserve"> </t>
        </r>
        <r>
          <rPr>
            <sz val="9"/>
            <color indexed="81"/>
            <rFont val="돋움"/>
            <family val="3"/>
            <charset val="129"/>
          </rPr>
          <t>이상</t>
        </r>
      </text>
    </comment>
    <comment ref="AQ2" authorId="0" shapeId="0">
      <text>
        <r>
          <rPr>
            <sz val="9"/>
            <color indexed="81"/>
            <rFont val="돋움"/>
            <family val="3"/>
            <charset val="129"/>
          </rPr>
          <t>연60만원,
추석, 설이 있는 달을
위 An1, An2셀에 입력
- 설날 및 추석날(이하“지급기준일”이라 하다) 현재 재직 중인 자
- 설날 60만원, 추석날 60만원
- 근무시간에 비례하여 지급, 주 15시간 미만자는 지급하지 않음</t>
        </r>
      </text>
    </comment>
    <comment ref="AR2" authorId="0" shapeId="0">
      <text>
        <r>
          <rPr>
            <sz val="9"/>
            <color indexed="81"/>
            <rFont val="돋움"/>
            <family val="3"/>
            <charset val="129"/>
          </rPr>
          <t>교통보조비</t>
        </r>
        <r>
          <rPr>
            <sz val="9"/>
            <color indexed="81"/>
            <rFont val="Tahoma"/>
            <family val="2"/>
          </rPr>
          <t xml:space="preserve">
</t>
        </r>
        <r>
          <rPr>
            <sz val="9"/>
            <color indexed="81"/>
            <rFont val="돋움"/>
            <family val="3"/>
            <charset val="129"/>
          </rPr>
          <t>19년 9월까지 지급.
19년 10월부터는 10만원이 기본급에 포함되어 11월부터는 미지급</t>
        </r>
      </text>
    </comment>
    <comment ref="AS2" authorId="2" shapeId="0">
      <text>
        <r>
          <rPr>
            <sz val="9"/>
            <color indexed="81"/>
            <rFont val="돋움"/>
            <family val="3"/>
            <charset val="129"/>
          </rPr>
          <t>가족수당</t>
        </r>
        <r>
          <rPr>
            <sz val="9"/>
            <color indexed="81"/>
            <rFont val="Tahoma"/>
            <family val="2"/>
          </rPr>
          <t xml:space="preserve">: </t>
        </r>
        <r>
          <rPr>
            <sz val="9"/>
            <color indexed="81"/>
            <rFont val="돋움"/>
            <family val="3"/>
            <charset val="129"/>
          </rPr>
          <t>공무원에</t>
        </r>
        <r>
          <rPr>
            <sz val="9"/>
            <color indexed="81"/>
            <rFont val="Tahoma"/>
            <family val="2"/>
          </rPr>
          <t xml:space="preserve"> </t>
        </r>
        <r>
          <rPr>
            <sz val="9"/>
            <color indexed="81"/>
            <rFont val="돋움"/>
            <family val="3"/>
            <charset val="129"/>
          </rPr>
          <t>준함
방학중</t>
        </r>
        <r>
          <rPr>
            <sz val="9"/>
            <color indexed="81"/>
            <rFont val="Tahoma"/>
            <family val="2"/>
          </rPr>
          <t xml:space="preserve"> </t>
        </r>
        <r>
          <rPr>
            <sz val="9"/>
            <color indexed="81"/>
            <rFont val="돋움"/>
            <family val="3"/>
            <charset val="129"/>
          </rPr>
          <t>전액지급</t>
        </r>
        <r>
          <rPr>
            <sz val="9"/>
            <color indexed="81"/>
            <rFont val="Tahoma"/>
            <family val="2"/>
          </rPr>
          <t xml:space="preserve">, </t>
        </r>
        <r>
          <rPr>
            <sz val="9"/>
            <color indexed="81"/>
            <rFont val="돋움"/>
            <family val="3"/>
            <charset val="129"/>
          </rPr>
          <t>신분변동시</t>
        </r>
        <r>
          <rPr>
            <sz val="9"/>
            <color indexed="81"/>
            <rFont val="Tahoma"/>
            <family val="2"/>
          </rPr>
          <t xml:space="preserve"> </t>
        </r>
        <r>
          <rPr>
            <sz val="9"/>
            <color indexed="81"/>
            <rFont val="돋움"/>
            <family val="3"/>
            <charset val="129"/>
          </rPr>
          <t>일할계산
배우자</t>
        </r>
        <r>
          <rPr>
            <sz val="9"/>
            <color indexed="81"/>
            <rFont val="Tahoma"/>
            <family val="2"/>
          </rPr>
          <t xml:space="preserve"> 4</t>
        </r>
        <r>
          <rPr>
            <sz val="9"/>
            <color indexed="81"/>
            <rFont val="돋움"/>
            <family val="3"/>
            <charset val="129"/>
          </rPr>
          <t>만원</t>
        </r>
        <r>
          <rPr>
            <sz val="9"/>
            <color indexed="81"/>
            <rFont val="Tahoma"/>
            <family val="2"/>
          </rPr>
          <t xml:space="preserve">, </t>
        </r>
        <r>
          <rPr>
            <sz val="9"/>
            <color indexed="81"/>
            <rFont val="돋움"/>
            <family val="3"/>
            <charset val="129"/>
          </rPr>
          <t>첫째자녀</t>
        </r>
        <r>
          <rPr>
            <sz val="9"/>
            <color indexed="81"/>
            <rFont val="Tahoma"/>
            <family val="2"/>
          </rPr>
          <t xml:space="preserve"> 2</t>
        </r>
        <r>
          <rPr>
            <sz val="9"/>
            <color indexed="81"/>
            <rFont val="돋움"/>
            <family val="3"/>
            <charset val="129"/>
          </rPr>
          <t>만원
둘째자녀</t>
        </r>
        <r>
          <rPr>
            <sz val="9"/>
            <color indexed="81"/>
            <rFont val="Tahoma"/>
            <family val="2"/>
          </rPr>
          <t xml:space="preserve"> 6</t>
        </r>
        <r>
          <rPr>
            <sz val="9"/>
            <color indexed="81"/>
            <rFont val="돋움"/>
            <family val="3"/>
            <charset val="129"/>
          </rPr>
          <t>만원</t>
        </r>
        <r>
          <rPr>
            <sz val="9"/>
            <color indexed="81"/>
            <rFont val="Tahoma"/>
            <family val="2"/>
          </rPr>
          <t xml:space="preserve">, </t>
        </r>
        <r>
          <rPr>
            <sz val="9"/>
            <color indexed="81"/>
            <rFont val="돋움"/>
            <family val="3"/>
            <charset val="129"/>
          </rPr>
          <t>셋째이후</t>
        </r>
        <r>
          <rPr>
            <sz val="9"/>
            <color indexed="81"/>
            <rFont val="Tahoma"/>
            <family val="2"/>
          </rPr>
          <t xml:space="preserve"> 10</t>
        </r>
        <r>
          <rPr>
            <sz val="9"/>
            <color indexed="81"/>
            <rFont val="돋움"/>
            <family val="3"/>
            <charset val="129"/>
          </rPr>
          <t>만원
기타가족</t>
        </r>
        <r>
          <rPr>
            <sz val="9"/>
            <color indexed="81"/>
            <rFont val="Tahoma"/>
            <family val="2"/>
          </rPr>
          <t>(</t>
        </r>
        <r>
          <rPr>
            <sz val="9"/>
            <color indexed="81"/>
            <rFont val="돋움"/>
            <family val="3"/>
            <charset val="129"/>
          </rPr>
          <t>존속</t>
        </r>
        <r>
          <rPr>
            <sz val="9"/>
            <color indexed="81"/>
            <rFont val="Tahoma"/>
            <family val="2"/>
          </rPr>
          <t>) 2</t>
        </r>
        <r>
          <rPr>
            <sz val="9"/>
            <color indexed="81"/>
            <rFont val="돋움"/>
            <family val="3"/>
            <charset val="129"/>
          </rPr>
          <t xml:space="preserve">만원
</t>
        </r>
        <r>
          <rPr>
            <b/>
            <sz val="9"/>
            <color indexed="39"/>
            <rFont val="맑은 고딕"/>
            <family val="3"/>
            <charset val="129"/>
          </rPr>
          <t>18.3.1.부터 자녀가족수당은 만19세 미만
으로 변경됨</t>
        </r>
      </text>
    </comment>
    <comment ref="AW2" authorId="1" shapeId="0">
      <text>
        <r>
          <rPr>
            <sz val="9"/>
            <color indexed="81"/>
            <rFont val="돋움"/>
            <family val="3"/>
            <charset val="129"/>
          </rPr>
          <t>19.03.01.부터
교육부 보수표 적용자
8월,1월에 45만원씩 지급
(연90만원)</t>
        </r>
      </text>
    </comment>
    <comment ref="AZ2" authorId="0" shapeId="0">
      <text>
        <r>
          <rPr>
            <sz val="9"/>
            <color indexed="81"/>
            <rFont val="Tahoma"/>
            <family val="2"/>
          </rPr>
          <t>2</t>
        </r>
        <r>
          <rPr>
            <sz val="9"/>
            <color indexed="81"/>
            <rFont val="돋움"/>
            <family val="3"/>
            <charset val="129"/>
          </rPr>
          <t>월에</t>
        </r>
        <r>
          <rPr>
            <sz val="9"/>
            <color indexed="81"/>
            <rFont val="Tahoma"/>
            <family val="2"/>
          </rPr>
          <t xml:space="preserve"> </t>
        </r>
        <r>
          <rPr>
            <sz val="9"/>
            <color indexed="81"/>
            <rFont val="돋움"/>
            <family val="3"/>
            <charset val="129"/>
          </rPr>
          <t>연차수당이
계산됨</t>
        </r>
        <r>
          <rPr>
            <sz val="9"/>
            <color indexed="81"/>
            <rFont val="Tahoma"/>
            <family val="2"/>
          </rPr>
          <t xml:space="preserve">
</t>
        </r>
      </text>
    </comment>
    <comment ref="BG2" authorId="1"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국민연금영주봉화지사</t>
        </r>
        <r>
          <rPr>
            <sz val="9"/>
            <color indexed="81"/>
            <rFont val="Tahoma"/>
            <family val="2"/>
          </rPr>
          <t xml:space="preserve"> 639-8015
</t>
        </r>
        <r>
          <rPr>
            <sz val="9"/>
            <color indexed="81"/>
            <rFont val="돋움"/>
            <family val="3"/>
            <charset val="129"/>
          </rPr>
          <t>국민연금은</t>
        </r>
        <r>
          <rPr>
            <sz val="9"/>
            <color indexed="81"/>
            <rFont val="Tahoma"/>
            <family val="2"/>
          </rPr>
          <t xml:space="preserve"> </t>
        </r>
        <r>
          <rPr>
            <sz val="9"/>
            <color indexed="81"/>
            <rFont val="돋움"/>
            <family val="3"/>
            <charset val="129"/>
          </rPr>
          <t>매년</t>
        </r>
        <r>
          <rPr>
            <sz val="9"/>
            <color indexed="81"/>
            <rFont val="Tahoma"/>
            <family val="2"/>
          </rPr>
          <t xml:space="preserve"> 7</t>
        </r>
        <r>
          <rPr>
            <sz val="9"/>
            <color indexed="81"/>
            <rFont val="돋움"/>
            <family val="3"/>
            <charset val="129"/>
          </rPr>
          <t>월에</t>
        </r>
        <r>
          <rPr>
            <sz val="9"/>
            <color indexed="81"/>
            <rFont val="Tahoma"/>
            <family val="2"/>
          </rPr>
          <t xml:space="preserve"> </t>
        </r>
        <r>
          <rPr>
            <sz val="9"/>
            <color indexed="81"/>
            <rFont val="돋움"/>
            <family val="3"/>
            <charset val="129"/>
          </rPr>
          <t>바뀜</t>
        </r>
      </text>
    </comment>
    <comment ref="BU2" authorId="1"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 </t>
        </r>
        <r>
          <rPr>
            <sz val="9"/>
            <color indexed="81"/>
            <rFont val="돋움"/>
            <family val="3"/>
            <charset val="129"/>
          </rPr>
          <t>맞춤형복지비는</t>
        </r>
        <r>
          <rPr>
            <sz val="9"/>
            <color indexed="81"/>
            <rFont val="Tahoma"/>
            <family val="2"/>
          </rPr>
          <t xml:space="preserve"> </t>
        </r>
        <r>
          <rPr>
            <sz val="9"/>
            <color indexed="81"/>
            <rFont val="돋움"/>
            <family val="3"/>
            <charset val="129"/>
          </rPr>
          <t>주</t>
        </r>
        <r>
          <rPr>
            <sz val="9"/>
            <color indexed="81"/>
            <rFont val="Tahoma"/>
            <family val="2"/>
          </rPr>
          <t>40</t>
        </r>
        <r>
          <rPr>
            <sz val="9"/>
            <color indexed="81"/>
            <rFont val="돋움"/>
            <family val="3"/>
            <charset val="129"/>
          </rPr>
          <t>시간이상</t>
        </r>
        <r>
          <rPr>
            <sz val="9"/>
            <color indexed="81"/>
            <rFont val="Tahoma"/>
            <family val="2"/>
          </rPr>
          <t>,</t>
        </r>
        <r>
          <rPr>
            <sz val="9"/>
            <color indexed="81"/>
            <rFont val="돋움"/>
            <family val="3"/>
            <charset val="129"/>
          </rPr>
          <t>근속연수</t>
        </r>
        <r>
          <rPr>
            <sz val="9"/>
            <color indexed="81"/>
            <rFont val="Tahoma"/>
            <family val="2"/>
          </rPr>
          <t>1</t>
        </r>
        <r>
          <rPr>
            <sz val="9"/>
            <color indexed="81"/>
            <rFont val="돋움"/>
            <family val="3"/>
            <charset val="129"/>
          </rPr>
          <t>년이상</t>
        </r>
        <r>
          <rPr>
            <sz val="9"/>
            <color indexed="81"/>
            <rFont val="Tahoma"/>
            <family val="2"/>
          </rPr>
          <t>,</t>
        </r>
        <r>
          <rPr>
            <sz val="9"/>
            <color indexed="81"/>
            <rFont val="돋움"/>
            <family val="3"/>
            <charset val="129"/>
          </rPr>
          <t>계약기간이</t>
        </r>
        <r>
          <rPr>
            <sz val="9"/>
            <color indexed="81"/>
            <rFont val="Tahoma"/>
            <family val="2"/>
          </rPr>
          <t>1</t>
        </r>
        <r>
          <rPr>
            <sz val="9"/>
            <color indexed="81"/>
            <rFont val="돋움"/>
            <family val="3"/>
            <charset val="129"/>
          </rPr>
          <t>년이상인자만</t>
        </r>
        <r>
          <rPr>
            <sz val="9"/>
            <color indexed="81"/>
            <rFont val="Tahoma"/>
            <family val="2"/>
          </rPr>
          <t xml:space="preserve"> </t>
        </r>
        <r>
          <rPr>
            <sz val="9"/>
            <color indexed="81"/>
            <rFont val="돋움"/>
            <family val="3"/>
            <charset val="129"/>
          </rPr>
          <t xml:space="preserve">해당됨
</t>
        </r>
        <r>
          <rPr>
            <sz val="9"/>
            <color indexed="81"/>
            <rFont val="Tahoma"/>
            <family val="2"/>
          </rPr>
          <t>(</t>
        </r>
        <r>
          <rPr>
            <sz val="9"/>
            <color indexed="81"/>
            <rFont val="돋움"/>
            <family val="3"/>
            <charset val="129"/>
          </rPr>
          <t>학교지원과</t>
        </r>
        <r>
          <rPr>
            <sz val="9"/>
            <color indexed="81"/>
            <rFont val="Tahoma"/>
            <family val="2"/>
          </rPr>
          <t xml:space="preserve">-3686(180312) </t>
        </r>
        <r>
          <rPr>
            <sz val="9"/>
            <color indexed="81"/>
            <rFont val="돋움"/>
            <family val="3"/>
            <charset val="129"/>
          </rPr>
          <t>접수</t>
        </r>
      </text>
    </comment>
    <comment ref="CD2" authorId="3" shapeId="0">
      <text>
        <r>
          <rPr>
            <b/>
            <sz val="9"/>
            <color indexed="81"/>
            <rFont val="Tahoma"/>
            <family val="2"/>
          </rPr>
          <t>admin:</t>
        </r>
        <r>
          <rPr>
            <sz val="9"/>
            <color indexed="81"/>
            <rFont val="Tahoma"/>
            <family val="2"/>
          </rPr>
          <t xml:space="preserve">
</t>
        </r>
        <r>
          <rPr>
            <sz val="9"/>
            <color indexed="81"/>
            <rFont val="돋움"/>
            <family val="3"/>
            <charset val="129"/>
          </rPr>
          <t>학교</t>
        </r>
        <r>
          <rPr>
            <sz val="9"/>
            <color indexed="81"/>
            <rFont val="Tahoma"/>
            <family val="2"/>
          </rPr>
          <t xml:space="preserve"> </t>
        </r>
        <r>
          <rPr>
            <sz val="9"/>
            <color indexed="81"/>
            <rFont val="돋움"/>
            <family val="3"/>
            <charset val="129"/>
          </rPr>
          <t>정산보험료</t>
        </r>
        <r>
          <rPr>
            <sz val="9"/>
            <color indexed="81"/>
            <rFont val="Tahoma"/>
            <family val="2"/>
          </rPr>
          <t>+</t>
        </r>
        <r>
          <rPr>
            <sz val="9"/>
            <color indexed="81"/>
            <rFont val="돋움"/>
            <family val="3"/>
            <charset val="129"/>
          </rPr>
          <t>고안직능</t>
        </r>
        <r>
          <rPr>
            <sz val="9"/>
            <color indexed="81"/>
            <rFont val="Tahoma"/>
            <family val="2"/>
          </rPr>
          <t xml:space="preserve"> </t>
        </r>
        <r>
          <rPr>
            <sz val="9"/>
            <color indexed="81"/>
            <rFont val="돋움"/>
            <family val="3"/>
            <charset val="129"/>
          </rPr>
          <t>정산보험료</t>
        </r>
      </text>
    </comment>
    <comment ref="AA10" authorId="1" shapeId="0">
      <text>
        <r>
          <rPr>
            <b/>
            <sz val="9"/>
            <color indexed="81"/>
            <rFont val="돋움"/>
            <family val="3"/>
            <charset val="129"/>
          </rPr>
          <t>통기타사랑</t>
        </r>
        <r>
          <rPr>
            <b/>
            <sz val="9"/>
            <color indexed="81"/>
            <rFont val="Tahoma"/>
            <family val="2"/>
          </rPr>
          <t>,</t>
        </r>
        <r>
          <rPr>
            <b/>
            <sz val="9"/>
            <color indexed="81"/>
            <rFont val="돋움"/>
            <family val="3"/>
            <charset val="129"/>
          </rPr>
          <t>리듬느낌</t>
        </r>
        <r>
          <rPr>
            <b/>
            <sz val="9"/>
            <color indexed="81"/>
            <rFont val="Tahoma"/>
            <family val="2"/>
          </rPr>
          <t>:</t>
        </r>
        <r>
          <rPr>
            <sz val="9"/>
            <color indexed="81"/>
            <rFont val="Tahoma"/>
            <family val="2"/>
          </rPr>
          <t xml:space="preserve">
</t>
        </r>
        <r>
          <rPr>
            <sz val="9"/>
            <color indexed="81"/>
            <rFont val="돋움"/>
            <family val="3"/>
            <charset val="129"/>
          </rPr>
          <t>이</t>
        </r>
        <r>
          <rPr>
            <sz val="9"/>
            <color indexed="81"/>
            <rFont val="Tahoma"/>
            <family val="2"/>
          </rPr>
          <t xml:space="preserve"> </t>
        </r>
        <r>
          <rPr>
            <sz val="9"/>
            <color indexed="81"/>
            <rFont val="돋움"/>
            <family val="3"/>
            <charset val="129"/>
          </rPr>
          <t xml:space="preserve">함수에는
</t>
        </r>
        <r>
          <rPr>
            <sz val="9"/>
            <color indexed="81"/>
            <rFont val="Tahoma"/>
            <family val="2"/>
          </rPr>
          <t>2</t>
        </r>
        <r>
          <rPr>
            <sz val="9"/>
            <color indexed="81"/>
            <rFont val="돋움"/>
            <family val="3"/>
            <charset val="129"/>
          </rPr>
          <t>월의</t>
        </r>
        <r>
          <rPr>
            <sz val="9"/>
            <color indexed="81"/>
            <rFont val="Tahoma"/>
            <family val="2"/>
          </rPr>
          <t xml:space="preserve"> 28, 29</t>
        </r>
        <r>
          <rPr>
            <sz val="9"/>
            <color indexed="81"/>
            <rFont val="돋움"/>
            <family val="3"/>
            <charset val="129"/>
          </rPr>
          <t>일</t>
        </r>
        <r>
          <rPr>
            <sz val="9"/>
            <color indexed="81"/>
            <rFont val="Tahoma"/>
            <family val="2"/>
          </rPr>
          <t xml:space="preserve"> </t>
        </r>
        <r>
          <rPr>
            <sz val="9"/>
            <color indexed="81"/>
            <rFont val="돋움"/>
            <family val="3"/>
            <charset val="129"/>
          </rPr>
          <t>구분</t>
        </r>
        <r>
          <rPr>
            <sz val="9"/>
            <color indexed="81"/>
            <rFont val="Tahoma"/>
            <family val="2"/>
          </rPr>
          <t xml:space="preserve"> </t>
        </r>
        <r>
          <rPr>
            <sz val="9"/>
            <color indexed="81"/>
            <rFont val="돋움"/>
            <family val="3"/>
            <charset val="129"/>
          </rPr>
          <t>안했음</t>
        </r>
      </text>
    </comment>
    <comment ref="BP60" authorId="3" shapeId="0">
      <text>
        <r>
          <rPr>
            <b/>
            <sz val="9"/>
            <color indexed="81"/>
            <rFont val="Tahoma"/>
            <family val="2"/>
          </rPr>
          <t>admin:</t>
        </r>
        <r>
          <rPr>
            <sz val="9"/>
            <color indexed="81"/>
            <rFont val="Tahoma"/>
            <family val="2"/>
          </rPr>
          <t xml:space="preserve">
</t>
        </r>
        <r>
          <rPr>
            <sz val="9"/>
            <color indexed="81"/>
            <rFont val="돋움"/>
            <family val="3"/>
            <charset val="129"/>
          </rPr>
          <t>양영숙</t>
        </r>
        <r>
          <rPr>
            <sz val="9"/>
            <color indexed="81"/>
            <rFont val="Tahoma"/>
            <family val="2"/>
          </rPr>
          <t xml:space="preserve"> </t>
        </r>
        <r>
          <rPr>
            <sz val="9"/>
            <color indexed="81"/>
            <rFont val="돋움"/>
            <family val="3"/>
            <charset val="129"/>
          </rPr>
          <t>복직시</t>
        </r>
        <r>
          <rPr>
            <sz val="9"/>
            <color indexed="81"/>
            <rFont val="Tahoma"/>
            <family val="2"/>
          </rPr>
          <t xml:space="preserve"> </t>
        </r>
        <r>
          <rPr>
            <sz val="9"/>
            <color indexed="81"/>
            <rFont val="돋움"/>
            <family val="3"/>
            <charset val="129"/>
          </rPr>
          <t>공제금</t>
        </r>
        <r>
          <rPr>
            <sz val="9"/>
            <color indexed="81"/>
            <rFont val="Tahoma"/>
            <family val="2"/>
          </rPr>
          <t>(</t>
        </r>
        <r>
          <rPr>
            <sz val="9"/>
            <color indexed="81"/>
            <rFont val="돋움"/>
            <family val="3"/>
            <charset val="129"/>
          </rPr>
          <t>각종</t>
        </r>
        <r>
          <rPr>
            <sz val="9"/>
            <color indexed="81"/>
            <rFont val="Tahoma"/>
            <family val="2"/>
          </rPr>
          <t xml:space="preserve"> </t>
        </r>
        <r>
          <rPr>
            <sz val="9"/>
            <color indexed="81"/>
            <rFont val="돋움"/>
            <family val="3"/>
            <charset val="129"/>
          </rPr>
          <t>보험료</t>
        </r>
        <r>
          <rPr>
            <sz val="9"/>
            <color indexed="81"/>
            <rFont val="Tahoma"/>
            <family val="2"/>
          </rPr>
          <t xml:space="preserve"> </t>
        </r>
        <r>
          <rPr>
            <sz val="9"/>
            <color indexed="81"/>
            <rFont val="돋움"/>
            <family val="3"/>
            <charset val="129"/>
          </rPr>
          <t>정산분</t>
        </r>
        <r>
          <rPr>
            <sz val="9"/>
            <color indexed="81"/>
            <rFont val="Tahoma"/>
            <family val="2"/>
          </rPr>
          <t>)</t>
        </r>
      </text>
    </comment>
    <comment ref="BP61" authorId="3" shapeId="0">
      <text>
        <r>
          <rPr>
            <b/>
            <sz val="9"/>
            <color indexed="81"/>
            <rFont val="Tahoma"/>
            <family val="2"/>
          </rPr>
          <t>admin:</t>
        </r>
        <r>
          <rPr>
            <sz val="9"/>
            <color indexed="81"/>
            <rFont val="Tahoma"/>
            <family val="2"/>
          </rPr>
          <t xml:space="preserve">
</t>
        </r>
        <r>
          <rPr>
            <sz val="9"/>
            <color indexed="81"/>
            <rFont val="돋움"/>
            <family val="3"/>
            <charset val="129"/>
          </rPr>
          <t>건강보험정산금</t>
        </r>
        <r>
          <rPr>
            <sz val="9"/>
            <color indexed="81"/>
            <rFont val="Tahoma"/>
            <family val="2"/>
          </rPr>
          <t xml:space="preserve"> </t>
        </r>
        <r>
          <rPr>
            <sz val="9"/>
            <color indexed="81"/>
            <rFont val="돋움"/>
            <family val="3"/>
            <charset val="129"/>
          </rPr>
          <t>분학에서</t>
        </r>
        <r>
          <rPr>
            <sz val="9"/>
            <color indexed="81"/>
            <rFont val="Tahoma"/>
            <family val="2"/>
          </rPr>
          <t xml:space="preserve"> </t>
        </r>
        <r>
          <rPr>
            <sz val="9"/>
            <color indexed="81"/>
            <rFont val="돋움"/>
            <family val="3"/>
            <charset val="129"/>
          </rPr>
          <t>일괄로</t>
        </r>
        <r>
          <rPr>
            <sz val="9"/>
            <color indexed="81"/>
            <rFont val="Tahoma"/>
            <family val="2"/>
          </rPr>
          <t xml:space="preserve"> </t>
        </r>
        <r>
          <rPr>
            <sz val="9"/>
            <color indexed="81"/>
            <rFont val="돋움"/>
            <family val="3"/>
            <charset val="129"/>
          </rPr>
          <t>조정하여</t>
        </r>
        <r>
          <rPr>
            <sz val="9"/>
            <color indexed="81"/>
            <rFont val="Tahoma"/>
            <family val="2"/>
          </rPr>
          <t xml:space="preserve"> </t>
        </r>
        <r>
          <rPr>
            <sz val="9"/>
            <color indexed="81"/>
            <rFont val="돋움"/>
            <family val="3"/>
            <charset val="129"/>
          </rPr>
          <t>개인수납함</t>
        </r>
        <r>
          <rPr>
            <sz val="9"/>
            <color indexed="81"/>
            <rFont val="Tahoma"/>
            <family val="2"/>
          </rPr>
          <t>(</t>
        </r>
        <r>
          <rPr>
            <sz val="9"/>
            <color indexed="81"/>
            <rFont val="돋움"/>
            <family val="3"/>
            <charset val="129"/>
          </rPr>
          <t>세외로</t>
        </r>
        <r>
          <rPr>
            <sz val="9"/>
            <color indexed="81"/>
            <rFont val="Tahoma"/>
            <family val="2"/>
          </rPr>
          <t>)</t>
        </r>
      </text>
    </comment>
    <comment ref="AK92" authorId="3" shapeId="0">
      <text>
        <r>
          <rPr>
            <b/>
            <sz val="9"/>
            <color indexed="81"/>
            <rFont val="돋움"/>
            <family val="3"/>
            <charset val="129"/>
          </rPr>
          <t>긴급돌봄수당</t>
        </r>
      </text>
    </comment>
    <comment ref="AO124" authorId="3" shapeId="0">
      <text>
        <r>
          <rPr>
            <sz val="9"/>
            <color indexed="81"/>
            <rFont val="돋움"/>
            <family val="3"/>
            <charset val="129"/>
          </rPr>
          <t>특수운영직군</t>
        </r>
        <r>
          <rPr>
            <sz val="9"/>
            <color indexed="81"/>
            <rFont val="Tahoma"/>
            <family val="2"/>
          </rPr>
          <t>(</t>
        </r>
        <r>
          <rPr>
            <sz val="9"/>
            <color indexed="81"/>
            <rFont val="돋움"/>
            <family val="3"/>
            <charset val="129"/>
          </rPr>
          <t>청소원</t>
        </r>
        <r>
          <rPr>
            <sz val="9"/>
            <color indexed="81"/>
            <rFont val="Tahoma"/>
            <family val="2"/>
          </rPr>
          <t>)</t>
        </r>
        <r>
          <rPr>
            <sz val="9"/>
            <color indexed="81"/>
            <rFont val="돋움"/>
            <family val="3"/>
            <charset val="129"/>
          </rPr>
          <t>은</t>
        </r>
        <r>
          <rPr>
            <sz val="9"/>
            <color indexed="81"/>
            <rFont val="Tahoma"/>
            <family val="2"/>
          </rPr>
          <t xml:space="preserve"> </t>
        </r>
        <r>
          <rPr>
            <sz val="9"/>
            <color indexed="81"/>
            <rFont val="돋움"/>
            <family val="3"/>
            <charset val="129"/>
          </rPr>
          <t>근속수당</t>
        </r>
        <r>
          <rPr>
            <sz val="9"/>
            <color indexed="81"/>
            <rFont val="Tahoma"/>
            <family val="2"/>
          </rPr>
          <t xml:space="preserve"> </t>
        </r>
        <r>
          <rPr>
            <sz val="9"/>
            <color indexed="81"/>
            <rFont val="돋움"/>
            <family val="3"/>
            <charset val="129"/>
          </rPr>
          <t>없음</t>
        </r>
      </text>
    </comment>
    <comment ref="AS125" authorId="3" shapeId="0">
      <text>
        <r>
          <rPr>
            <b/>
            <sz val="9"/>
            <color indexed="81"/>
            <rFont val="돋움"/>
            <family val="3"/>
            <charset val="129"/>
          </rPr>
          <t>배우자</t>
        </r>
        <r>
          <rPr>
            <b/>
            <sz val="9"/>
            <color indexed="81"/>
            <rFont val="Tahoma"/>
            <family val="2"/>
          </rPr>
          <t xml:space="preserve">(40,000)*20/40
</t>
        </r>
        <r>
          <rPr>
            <b/>
            <sz val="9"/>
            <color indexed="81"/>
            <rFont val="돋움"/>
            <family val="3"/>
            <charset val="129"/>
          </rPr>
          <t>시모</t>
        </r>
        <r>
          <rPr>
            <b/>
            <sz val="9"/>
            <color indexed="81"/>
            <rFont val="Tahoma"/>
            <family val="2"/>
          </rPr>
          <t>(20,000)*20/40</t>
        </r>
      </text>
    </comment>
    <comment ref="AR126" authorId="3" shapeId="0">
      <text>
        <r>
          <rPr>
            <sz val="9"/>
            <color indexed="81"/>
            <rFont val="돋움"/>
            <family val="3"/>
            <charset val="129"/>
          </rPr>
          <t>돌봄전담사</t>
        </r>
        <r>
          <rPr>
            <sz val="9"/>
            <color indexed="81"/>
            <rFont val="Tahoma"/>
            <family val="2"/>
          </rPr>
          <t xml:space="preserve"> 2</t>
        </r>
        <r>
          <rPr>
            <sz val="9"/>
            <color indexed="81"/>
            <rFont val="돋움"/>
            <family val="3"/>
            <charset val="129"/>
          </rPr>
          <t>명
교통보조비</t>
        </r>
        <r>
          <rPr>
            <sz val="9"/>
            <color indexed="81"/>
            <rFont val="Tahoma"/>
            <family val="2"/>
          </rPr>
          <t xml:space="preserve"> 3</t>
        </r>
        <r>
          <rPr>
            <sz val="9"/>
            <color indexed="81"/>
            <rFont val="돋움"/>
            <family val="3"/>
            <charset val="129"/>
          </rPr>
          <t>만원을</t>
        </r>
        <r>
          <rPr>
            <sz val="9"/>
            <color indexed="81"/>
            <rFont val="Tahoma"/>
            <family val="2"/>
          </rPr>
          <t xml:space="preserve"> 2020</t>
        </r>
        <r>
          <rPr>
            <sz val="9"/>
            <color indexed="81"/>
            <rFont val="돋움"/>
            <family val="3"/>
            <charset val="129"/>
          </rPr>
          <t>년</t>
        </r>
        <r>
          <rPr>
            <sz val="9"/>
            <color indexed="81"/>
            <rFont val="Tahoma"/>
            <family val="2"/>
          </rPr>
          <t xml:space="preserve"> 2</t>
        </r>
        <r>
          <rPr>
            <sz val="9"/>
            <color indexed="81"/>
            <rFont val="돋움"/>
            <family val="3"/>
            <charset val="129"/>
          </rPr>
          <t>월까지만</t>
        </r>
        <r>
          <rPr>
            <sz val="9"/>
            <color indexed="81"/>
            <rFont val="Tahoma"/>
            <family val="2"/>
          </rPr>
          <t xml:space="preserve"> </t>
        </r>
        <r>
          <rPr>
            <sz val="9"/>
            <color indexed="81"/>
            <rFont val="돋움"/>
            <family val="3"/>
            <charset val="129"/>
          </rPr>
          <t>지급</t>
        </r>
        <r>
          <rPr>
            <sz val="9"/>
            <color indexed="81"/>
            <rFont val="Tahoma"/>
            <family val="2"/>
          </rPr>
          <t>(</t>
        </r>
        <r>
          <rPr>
            <sz val="9"/>
            <color indexed="81"/>
            <rFont val="돋움"/>
            <family val="3"/>
            <charset val="129"/>
          </rPr>
          <t>보전금임</t>
        </r>
        <r>
          <rPr>
            <sz val="9"/>
            <color indexed="81"/>
            <rFont val="Tahoma"/>
            <family val="2"/>
          </rPr>
          <t>)
1</t>
        </r>
        <r>
          <rPr>
            <sz val="9"/>
            <color indexed="81"/>
            <rFont val="돋움"/>
            <family val="3"/>
            <charset val="129"/>
          </rPr>
          <t>인당</t>
        </r>
        <r>
          <rPr>
            <sz val="9"/>
            <color indexed="81"/>
            <rFont val="Tahoma"/>
            <family val="2"/>
          </rPr>
          <t xml:space="preserve"> 3</t>
        </r>
        <r>
          <rPr>
            <sz val="9"/>
            <color indexed="81"/>
            <rFont val="돋움"/>
            <family val="3"/>
            <charset val="129"/>
          </rPr>
          <t>만원</t>
        </r>
        <r>
          <rPr>
            <sz val="9"/>
            <color indexed="81"/>
            <rFont val="Tahoma"/>
            <family val="2"/>
          </rPr>
          <t>*5</t>
        </r>
        <r>
          <rPr>
            <sz val="9"/>
            <color indexed="81"/>
            <rFont val="돋움"/>
            <family val="3"/>
            <charset val="129"/>
          </rPr>
          <t>개월</t>
        </r>
        <r>
          <rPr>
            <sz val="9"/>
            <color indexed="81"/>
            <rFont val="Tahoma"/>
            <family val="2"/>
          </rPr>
          <t>=15</t>
        </r>
        <r>
          <rPr>
            <sz val="9"/>
            <color indexed="81"/>
            <rFont val="돋움"/>
            <family val="3"/>
            <charset val="129"/>
          </rPr>
          <t xml:space="preserve">만원
</t>
        </r>
        <r>
          <rPr>
            <sz val="9"/>
            <color indexed="81"/>
            <rFont val="Tahoma"/>
            <family val="2"/>
          </rPr>
          <t xml:space="preserve"> - 10</t>
        </r>
        <r>
          <rPr>
            <sz val="9"/>
            <color indexed="81"/>
            <rFont val="돋움"/>
            <family val="3"/>
            <charset val="129"/>
          </rPr>
          <t>월분</t>
        </r>
        <r>
          <rPr>
            <sz val="9"/>
            <color indexed="81"/>
            <rFont val="Tahoma"/>
            <family val="2"/>
          </rPr>
          <t xml:space="preserve"> </t>
        </r>
        <r>
          <rPr>
            <sz val="9"/>
            <color indexed="81"/>
            <rFont val="돋움"/>
            <family val="3"/>
            <charset val="129"/>
          </rPr>
          <t>기지급</t>
        </r>
        <r>
          <rPr>
            <sz val="9"/>
            <color indexed="81"/>
            <rFont val="Tahoma"/>
            <family val="2"/>
          </rPr>
          <t xml:space="preserve"> 6</t>
        </r>
        <r>
          <rPr>
            <sz val="9"/>
            <color indexed="81"/>
            <rFont val="돋움"/>
            <family val="3"/>
            <charset val="129"/>
          </rPr>
          <t>만원에서</t>
        </r>
        <r>
          <rPr>
            <sz val="9"/>
            <color indexed="81"/>
            <rFont val="Tahoma"/>
            <family val="2"/>
          </rPr>
          <t xml:space="preserve"> 3</t>
        </r>
        <r>
          <rPr>
            <sz val="9"/>
            <color indexed="81"/>
            <rFont val="돋움"/>
            <family val="3"/>
            <charset val="129"/>
          </rPr>
          <t>만원을</t>
        </r>
        <r>
          <rPr>
            <sz val="9"/>
            <color indexed="81"/>
            <rFont val="Tahoma"/>
            <family val="2"/>
          </rPr>
          <t xml:space="preserve"> 11</t>
        </r>
        <r>
          <rPr>
            <sz val="9"/>
            <color indexed="81"/>
            <rFont val="돋움"/>
            <family val="3"/>
            <charset val="129"/>
          </rPr>
          <t>월에</t>
        </r>
        <r>
          <rPr>
            <sz val="9"/>
            <color indexed="81"/>
            <rFont val="Tahoma"/>
            <family val="2"/>
          </rPr>
          <t xml:space="preserve"> </t>
        </r>
        <r>
          <rPr>
            <sz val="9"/>
            <color indexed="81"/>
            <rFont val="돋움"/>
            <family val="3"/>
            <charset val="129"/>
          </rPr>
          <t xml:space="preserve">감액함
</t>
        </r>
        <r>
          <rPr>
            <sz val="9"/>
            <color indexed="81"/>
            <rFont val="Tahoma"/>
            <family val="2"/>
          </rPr>
          <t xml:space="preserve"> (11</t>
        </r>
        <r>
          <rPr>
            <sz val="9"/>
            <color indexed="81"/>
            <rFont val="돋움"/>
            <family val="3"/>
            <charset val="129"/>
          </rPr>
          <t>월분</t>
        </r>
        <r>
          <rPr>
            <sz val="9"/>
            <color indexed="81"/>
            <rFont val="Tahoma"/>
            <family val="2"/>
          </rPr>
          <t>3</t>
        </r>
        <r>
          <rPr>
            <sz val="9"/>
            <color indexed="81"/>
            <rFont val="돋움"/>
            <family val="3"/>
            <charset val="129"/>
          </rPr>
          <t>만원</t>
        </r>
        <r>
          <rPr>
            <sz val="9"/>
            <color indexed="81"/>
            <rFont val="Tahoma"/>
            <family val="2"/>
          </rPr>
          <t>-10</t>
        </r>
        <r>
          <rPr>
            <sz val="9"/>
            <color indexed="81"/>
            <rFont val="돋움"/>
            <family val="3"/>
            <charset val="129"/>
          </rPr>
          <t>월감액</t>
        </r>
        <r>
          <rPr>
            <sz val="9"/>
            <color indexed="81"/>
            <rFont val="Tahoma"/>
            <family val="2"/>
          </rPr>
          <t>3</t>
        </r>
        <r>
          <rPr>
            <sz val="9"/>
            <color indexed="81"/>
            <rFont val="돋움"/>
            <family val="3"/>
            <charset val="129"/>
          </rPr>
          <t>만원</t>
        </r>
        <r>
          <rPr>
            <sz val="9"/>
            <color indexed="81"/>
            <rFont val="Tahoma"/>
            <family val="2"/>
          </rPr>
          <t>=0</t>
        </r>
        <r>
          <rPr>
            <sz val="9"/>
            <color indexed="81"/>
            <rFont val="돋움"/>
            <family val="3"/>
            <charset val="129"/>
          </rPr>
          <t>원</t>
        </r>
        <r>
          <rPr>
            <sz val="9"/>
            <color indexed="81"/>
            <rFont val="Tahoma"/>
            <family val="2"/>
          </rPr>
          <t>)
20.03</t>
        </r>
        <r>
          <rPr>
            <sz val="9"/>
            <color indexed="81"/>
            <rFont val="돋움"/>
            <family val="3"/>
            <charset val="129"/>
          </rPr>
          <t>월부터는</t>
        </r>
        <r>
          <rPr>
            <sz val="9"/>
            <color indexed="81"/>
            <rFont val="Tahoma"/>
            <family val="2"/>
          </rPr>
          <t xml:space="preserve"> </t>
        </r>
        <r>
          <rPr>
            <sz val="9"/>
            <color indexed="81"/>
            <rFont val="돋움"/>
            <family val="3"/>
            <charset val="129"/>
          </rPr>
          <t>교통보조비</t>
        </r>
        <r>
          <rPr>
            <sz val="9"/>
            <color indexed="81"/>
            <rFont val="Tahoma"/>
            <family val="2"/>
          </rPr>
          <t xml:space="preserve"> </t>
        </r>
        <r>
          <rPr>
            <sz val="9"/>
            <color indexed="81"/>
            <rFont val="돋움"/>
            <family val="3"/>
            <charset val="129"/>
          </rPr>
          <t xml:space="preserve">보전금이
</t>
        </r>
        <r>
          <rPr>
            <sz val="9"/>
            <color indexed="81"/>
            <rFont val="Tahoma"/>
            <family val="2"/>
          </rPr>
          <t>2</t>
        </r>
        <r>
          <rPr>
            <sz val="9"/>
            <color indexed="81"/>
            <rFont val="돋움"/>
            <family val="3"/>
            <charset val="129"/>
          </rPr>
          <t>만원</t>
        </r>
        <r>
          <rPr>
            <sz val="9"/>
            <color indexed="81"/>
            <rFont val="Tahoma"/>
            <family val="2"/>
          </rPr>
          <t xml:space="preserve"> </t>
        </r>
        <r>
          <rPr>
            <sz val="9"/>
            <color indexed="81"/>
            <rFont val="돋움"/>
            <family val="3"/>
            <charset val="129"/>
          </rPr>
          <t>지급됨</t>
        </r>
        <r>
          <rPr>
            <sz val="9"/>
            <color indexed="81"/>
            <rFont val="Tahoma"/>
            <family val="2"/>
          </rPr>
          <t>(</t>
        </r>
        <r>
          <rPr>
            <sz val="9"/>
            <color indexed="81"/>
            <rFont val="돋움"/>
            <family val="3"/>
            <charset val="129"/>
          </rPr>
          <t>주</t>
        </r>
        <r>
          <rPr>
            <sz val="9"/>
            <color indexed="81"/>
            <rFont val="Tahoma"/>
            <family val="2"/>
          </rPr>
          <t>40</t>
        </r>
        <r>
          <rPr>
            <sz val="9"/>
            <color indexed="81"/>
            <rFont val="돋움"/>
            <family val="3"/>
            <charset val="129"/>
          </rPr>
          <t>시간인</t>
        </r>
        <r>
          <rPr>
            <sz val="9"/>
            <color indexed="81"/>
            <rFont val="Tahoma"/>
            <family val="2"/>
          </rPr>
          <t xml:space="preserve"> </t>
        </r>
        <r>
          <rPr>
            <sz val="9"/>
            <color indexed="81"/>
            <rFont val="돋움"/>
            <family val="3"/>
            <charset val="129"/>
          </rPr>
          <t>경우</t>
        </r>
        <r>
          <rPr>
            <sz val="9"/>
            <color indexed="81"/>
            <rFont val="Tahoma"/>
            <family val="2"/>
          </rPr>
          <t xml:space="preserve">)
 - 19.11.06 </t>
        </r>
        <r>
          <rPr>
            <sz val="9"/>
            <color indexed="81"/>
            <rFont val="돋움"/>
            <family val="3"/>
            <charset val="129"/>
          </rPr>
          <t>학교지원과</t>
        </r>
        <r>
          <rPr>
            <sz val="9"/>
            <color indexed="81"/>
            <rFont val="Tahoma"/>
            <family val="2"/>
          </rPr>
          <t xml:space="preserve"> </t>
        </r>
        <r>
          <rPr>
            <sz val="9"/>
            <color indexed="81"/>
            <rFont val="돋움"/>
            <family val="3"/>
            <charset val="129"/>
          </rPr>
          <t>임금협약</t>
        </r>
        <r>
          <rPr>
            <sz val="9"/>
            <color indexed="81"/>
            <rFont val="Tahoma"/>
            <family val="2"/>
          </rPr>
          <t xml:space="preserve"> </t>
        </r>
        <r>
          <rPr>
            <sz val="9"/>
            <color indexed="81"/>
            <rFont val="돋움"/>
            <family val="3"/>
            <charset val="129"/>
          </rPr>
          <t>한글파일</t>
        </r>
        <r>
          <rPr>
            <sz val="9"/>
            <color indexed="81"/>
            <rFont val="Tahoma"/>
            <family val="2"/>
          </rPr>
          <t xml:space="preserve"> </t>
        </r>
        <r>
          <rPr>
            <sz val="9"/>
            <color indexed="81"/>
            <rFont val="돋움"/>
            <family val="3"/>
            <charset val="129"/>
          </rPr>
          <t>참조
【사례</t>
        </r>
        <r>
          <rPr>
            <sz val="9"/>
            <color indexed="81"/>
            <rFont val="Tahoma"/>
            <family val="2"/>
          </rPr>
          <t xml:space="preserve"> 1</t>
        </r>
        <r>
          <rPr>
            <sz val="9"/>
            <color indexed="81"/>
            <rFont val="돋움"/>
            <family val="3"/>
            <charset val="129"/>
          </rPr>
          <t xml:space="preserve">】
</t>
        </r>
        <r>
          <rPr>
            <sz val="9"/>
            <color indexed="81"/>
            <rFont val="Tahoma"/>
            <family val="2"/>
          </rPr>
          <t xml:space="preserve">  </t>
        </r>
        <r>
          <rPr>
            <sz val="9"/>
            <color indexed="81"/>
            <rFont val="돋움"/>
            <family val="3"/>
            <charset val="129"/>
          </rPr>
          <t>주</t>
        </r>
        <r>
          <rPr>
            <sz val="9"/>
            <color indexed="81"/>
            <rFont val="Tahoma"/>
            <family val="2"/>
          </rPr>
          <t>20</t>
        </r>
        <r>
          <rPr>
            <sz val="9"/>
            <color indexed="81"/>
            <rFont val="돋움"/>
            <family val="3"/>
            <charset val="129"/>
          </rPr>
          <t>시간</t>
        </r>
        <r>
          <rPr>
            <sz val="9"/>
            <color indexed="81"/>
            <rFont val="Tahoma"/>
            <family val="2"/>
          </rPr>
          <t xml:space="preserve"> </t>
        </r>
        <r>
          <rPr>
            <sz val="9"/>
            <color indexed="81"/>
            <rFont val="돋움"/>
            <family val="3"/>
            <charset val="129"/>
          </rPr>
          <t>근로하는</t>
        </r>
        <r>
          <rPr>
            <sz val="9"/>
            <color indexed="81"/>
            <rFont val="Tahoma"/>
            <family val="2"/>
          </rPr>
          <t xml:space="preserve"> </t>
        </r>
        <r>
          <rPr>
            <sz val="9"/>
            <color indexed="81"/>
            <rFont val="돋움"/>
            <family val="3"/>
            <charset val="129"/>
          </rPr>
          <t>돌봄전담사의</t>
        </r>
        <r>
          <rPr>
            <sz val="9"/>
            <color indexed="81"/>
            <rFont val="Tahoma"/>
            <family val="2"/>
          </rPr>
          <t xml:space="preserve"> 2019</t>
        </r>
        <r>
          <rPr>
            <sz val="9"/>
            <color indexed="81"/>
            <rFont val="돋움"/>
            <family val="3"/>
            <charset val="129"/>
          </rPr>
          <t>년</t>
        </r>
        <r>
          <rPr>
            <sz val="9"/>
            <color indexed="81"/>
            <rFont val="Tahoma"/>
            <family val="2"/>
          </rPr>
          <t xml:space="preserve"> 10</t>
        </r>
        <r>
          <rPr>
            <sz val="9"/>
            <color indexed="81"/>
            <rFont val="돋움"/>
            <family val="3"/>
            <charset val="129"/>
          </rPr>
          <t>월</t>
        </r>
        <r>
          <rPr>
            <sz val="9"/>
            <color indexed="81"/>
            <rFont val="Tahoma"/>
            <family val="2"/>
          </rPr>
          <t xml:space="preserve"> </t>
        </r>
        <r>
          <rPr>
            <sz val="9"/>
            <color indexed="81"/>
            <rFont val="돋움"/>
            <family val="3"/>
            <charset val="129"/>
          </rPr>
          <t>기본급</t>
        </r>
        <r>
          <rPr>
            <sz val="9"/>
            <color indexed="81"/>
            <rFont val="Tahoma"/>
            <family val="2"/>
          </rPr>
          <t xml:space="preserve"> </t>
        </r>
        <r>
          <rPr>
            <sz val="9"/>
            <color indexed="81"/>
            <rFont val="돋움"/>
            <family val="3"/>
            <charset val="129"/>
          </rPr>
          <t>및</t>
        </r>
        <r>
          <rPr>
            <sz val="9"/>
            <color indexed="81"/>
            <rFont val="Tahoma"/>
            <family val="2"/>
          </rPr>
          <t xml:space="preserve"> </t>
        </r>
        <r>
          <rPr>
            <sz val="9"/>
            <color indexed="81"/>
            <rFont val="돋움"/>
            <family val="3"/>
            <charset val="129"/>
          </rPr>
          <t>보전금은</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기본급</t>
        </r>
        <r>
          <rPr>
            <sz val="9"/>
            <color indexed="81"/>
            <rFont val="Tahoma"/>
            <family val="2"/>
          </rPr>
          <t>) 1,772,270</t>
        </r>
        <r>
          <rPr>
            <sz val="9"/>
            <color indexed="81"/>
            <rFont val="돋움"/>
            <family val="3"/>
            <charset val="129"/>
          </rPr>
          <t>원</t>
        </r>
        <r>
          <rPr>
            <sz val="9"/>
            <color indexed="81"/>
            <rFont val="Tahoma"/>
            <family val="2"/>
          </rPr>
          <t xml:space="preserve"> × 20/40</t>
        </r>
        <r>
          <rPr>
            <sz val="9"/>
            <color indexed="81"/>
            <rFont val="돋움"/>
            <family val="3"/>
            <charset val="129"/>
          </rPr>
          <t>시간</t>
        </r>
        <r>
          <rPr>
            <sz val="9"/>
            <color indexed="81"/>
            <rFont val="Tahoma"/>
            <family val="2"/>
          </rPr>
          <t xml:space="preserve"> = 886,130</t>
        </r>
        <r>
          <rPr>
            <sz val="9"/>
            <color indexed="81"/>
            <rFont val="돋움"/>
            <family val="3"/>
            <charset val="129"/>
          </rPr>
          <t>원</t>
        </r>
        <r>
          <rPr>
            <sz val="9"/>
            <color indexed="81"/>
            <rFont val="Tahoma"/>
            <family val="2"/>
          </rPr>
          <t xml:space="preserve"> :   (</t>
        </r>
        <r>
          <rPr>
            <sz val="9"/>
            <color indexed="81"/>
            <rFont val="돋움"/>
            <family val="3"/>
            <charset val="129"/>
          </rPr>
          <t>보전금</t>
        </r>
        <r>
          <rPr>
            <sz val="9"/>
            <color indexed="81"/>
            <rFont val="Tahoma"/>
            <family val="2"/>
          </rPr>
          <t>) 30,000</t>
        </r>
        <r>
          <rPr>
            <sz val="9"/>
            <color indexed="81"/>
            <rFont val="돋움"/>
            <family val="3"/>
            <charset val="129"/>
          </rPr>
          <t xml:space="preserve">원
</t>
        </r>
        <r>
          <rPr>
            <sz val="9"/>
            <color indexed="81"/>
            <rFont val="Tahoma"/>
            <family val="2"/>
          </rPr>
          <t xml:space="preserve">  </t>
        </r>
        <r>
          <rPr>
            <sz val="9"/>
            <color indexed="81"/>
            <rFont val="돋움"/>
            <family val="3"/>
            <charset val="129"/>
          </rPr>
          <t>주</t>
        </r>
        <r>
          <rPr>
            <sz val="9"/>
            <color indexed="81"/>
            <rFont val="Tahoma"/>
            <family val="2"/>
          </rPr>
          <t>20</t>
        </r>
        <r>
          <rPr>
            <sz val="9"/>
            <color indexed="81"/>
            <rFont val="돋움"/>
            <family val="3"/>
            <charset val="129"/>
          </rPr>
          <t>시간</t>
        </r>
        <r>
          <rPr>
            <sz val="9"/>
            <color indexed="81"/>
            <rFont val="Tahoma"/>
            <family val="2"/>
          </rPr>
          <t xml:space="preserve"> </t>
        </r>
        <r>
          <rPr>
            <sz val="9"/>
            <color indexed="81"/>
            <rFont val="돋움"/>
            <family val="3"/>
            <charset val="129"/>
          </rPr>
          <t>근로하는</t>
        </r>
        <r>
          <rPr>
            <sz val="9"/>
            <color indexed="81"/>
            <rFont val="Tahoma"/>
            <family val="2"/>
          </rPr>
          <t xml:space="preserve"> </t>
        </r>
        <r>
          <rPr>
            <sz val="9"/>
            <color indexed="81"/>
            <rFont val="돋움"/>
            <family val="3"/>
            <charset val="129"/>
          </rPr>
          <t>돌봄전담사의</t>
        </r>
        <r>
          <rPr>
            <sz val="9"/>
            <color indexed="81"/>
            <rFont val="Tahoma"/>
            <family val="2"/>
          </rPr>
          <t xml:space="preserve"> 2020</t>
        </r>
        <r>
          <rPr>
            <sz val="9"/>
            <color indexed="81"/>
            <rFont val="돋움"/>
            <family val="3"/>
            <charset val="129"/>
          </rPr>
          <t>년</t>
        </r>
        <r>
          <rPr>
            <sz val="9"/>
            <color indexed="81"/>
            <rFont val="Tahoma"/>
            <family val="2"/>
          </rPr>
          <t xml:space="preserve"> 3</t>
        </r>
        <r>
          <rPr>
            <sz val="9"/>
            <color indexed="81"/>
            <rFont val="돋움"/>
            <family val="3"/>
            <charset val="129"/>
          </rPr>
          <t>월</t>
        </r>
        <r>
          <rPr>
            <sz val="9"/>
            <color indexed="81"/>
            <rFont val="Tahoma"/>
            <family val="2"/>
          </rPr>
          <t xml:space="preserve"> </t>
        </r>
        <r>
          <rPr>
            <sz val="9"/>
            <color indexed="81"/>
            <rFont val="돋움"/>
            <family val="3"/>
            <charset val="129"/>
          </rPr>
          <t>기본급</t>
        </r>
        <r>
          <rPr>
            <sz val="9"/>
            <color indexed="81"/>
            <rFont val="Tahoma"/>
            <family val="2"/>
          </rPr>
          <t xml:space="preserve"> </t>
        </r>
        <r>
          <rPr>
            <sz val="9"/>
            <color indexed="81"/>
            <rFont val="돋움"/>
            <family val="3"/>
            <charset val="129"/>
          </rPr>
          <t>및</t>
        </r>
        <r>
          <rPr>
            <sz val="9"/>
            <color indexed="81"/>
            <rFont val="Tahoma"/>
            <family val="2"/>
          </rPr>
          <t xml:space="preserve"> </t>
        </r>
        <r>
          <rPr>
            <sz val="9"/>
            <color indexed="81"/>
            <rFont val="돋움"/>
            <family val="3"/>
            <charset val="129"/>
          </rPr>
          <t>보전금은</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기본급</t>
        </r>
        <r>
          <rPr>
            <sz val="9"/>
            <color indexed="81"/>
            <rFont val="Tahoma"/>
            <family val="2"/>
          </rPr>
          <t>) 1,823,000</t>
        </r>
        <r>
          <rPr>
            <sz val="9"/>
            <color indexed="81"/>
            <rFont val="돋움"/>
            <family val="3"/>
            <charset val="129"/>
          </rPr>
          <t>원</t>
        </r>
        <r>
          <rPr>
            <sz val="9"/>
            <color indexed="81"/>
            <rFont val="Tahoma"/>
            <family val="2"/>
          </rPr>
          <t xml:space="preserve"> × 20/40</t>
        </r>
        <r>
          <rPr>
            <sz val="9"/>
            <color indexed="81"/>
            <rFont val="돋움"/>
            <family val="3"/>
            <charset val="129"/>
          </rPr>
          <t>시간</t>
        </r>
        <r>
          <rPr>
            <sz val="9"/>
            <color indexed="81"/>
            <rFont val="Tahoma"/>
            <family val="2"/>
          </rPr>
          <t xml:space="preserve"> = 911,500</t>
        </r>
        <r>
          <rPr>
            <sz val="9"/>
            <color indexed="81"/>
            <rFont val="돋움"/>
            <family val="3"/>
            <charset val="129"/>
          </rPr>
          <t>원</t>
        </r>
        <r>
          <rPr>
            <sz val="9"/>
            <color indexed="81"/>
            <rFont val="Tahoma"/>
            <family val="2"/>
          </rPr>
          <t xml:space="preserve"> :   (</t>
        </r>
        <r>
          <rPr>
            <sz val="9"/>
            <color indexed="81"/>
            <rFont val="돋움"/>
            <family val="3"/>
            <charset val="129"/>
          </rPr>
          <t>보전금</t>
        </r>
        <r>
          <rPr>
            <sz val="9"/>
            <color indexed="81"/>
            <rFont val="Tahoma"/>
            <family val="2"/>
          </rPr>
          <t>) 20,000</t>
        </r>
        <r>
          <rPr>
            <sz val="9"/>
            <color indexed="81"/>
            <rFont val="돋움"/>
            <family val="3"/>
            <charset val="129"/>
          </rPr>
          <t xml:space="preserve">원
</t>
        </r>
      </text>
    </comment>
    <comment ref="AS126" authorId="3" shapeId="0">
      <text>
        <r>
          <rPr>
            <b/>
            <sz val="9"/>
            <color indexed="81"/>
            <rFont val="돋움"/>
            <family val="3"/>
            <charset val="129"/>
          </rPr>
          <t>배우자(40,000)*25/40
시모(20,000)*25/40</t>
        </r>
      </text>
    </comment>
    <comment ref="AS127" authorId="3" shapeId="0">
      <text>
        <r>
          <rPr>
            <b/>
            <sz val="9"/>
            <color indexed="81"/>
            <rFont val="돋움"/>
            <family val="3"/>
            <charset val="129"/>
          </rPr>
          <t>배우자(40,000)</t>
        </r>
      </text>
    </comment>
    <comment ref="AS128" authorId="3" shapeId="0">
      <text>
        <r>
          <rPr>
            <b/>
            <sz val="9"/>
            <color indexed="81"/>
            <rFont val="돋움"/>
            <family val="3"/>
            <charset val="129"/>
          </rPr>
          <t>배우자(40,000)</t>
        </r>
      </text>
    </comment>
    <comment ref="AS130" authorId="3" shapeId="0">
      <text>
        <r>
          <rPr>
            <b/>
            <sz val="9"/>
            <color indexed="81"/>
            <rFont val="돋움"/>
            <family val="3"/>
            <charset val="129"/>
          </rPr>
          <t>배우자</t>
        </r>
        <r>
          <rPr>
            <b/>
            <sz val="9"/>
            <color indexed="81"/>
            <rFont val="Tahoma"/>
            <family val="2"/>
          </rPr>
          <t>(40,000)</t>
        </r>
      </text>
    </comment>
    <comment ref="AS132" authorId="1" shapeId="0">
      <text>
        <r>
          <rPr>
            <b/>
            <sz val="9"/>
            <color indexed="81"/>
            <rFont val="돋움"/>
            <family val="3"/>
            <charset val="129"/>
          </rPr>
          <t>배우자(40,000)*20/40</t>
        </r>
      </text>
    </comment>
    <comment ref="AP133" authorId="3" shapeId="0">
      <text>
        <r>
          <rPr>
            <b/>
            <sz val="9"/>
            <color indexed="81"/>
            <rFont val="돋움"/>
            <family val="3"/>
            <charset val="129"/>
          </rPr>
          <t xml:space="preserve">산출기초
</t>
        </r>
        <r>
          <rPr>
            <b/>
            <sz val="9"/>
            <color indexed="81"/>
            <rFont val="Tahoma"/>
            <family val="2"/>
          </rPr>
          <t>(</t>
        </r>
        <r>
          <rPr>
            <b/>
            <sz val="9"/>
            <color indexed="81"/>
            <rFont val="돋움"/>
            <family val="3"/>
            <charset val="129"/>
          </rPr>
          <t>기본급</t>
        </r>
        <r>
          <rPr>
            <b/>
            <sz val="9"/>
            <color indexed="81"/>
            <rFont val="Tahoma"/>
            <family val="2"/>
          </rPr>
          <t>+</t>
        </r>
        <r>
          <rPr>
            <b/>
            <sz val="9"/>
            <color indexed="81"/>
            <rFont val="돋움"/>
            <family val="3"/>
            <charset val="129"/>
          </rPr>
          <t>교직수당</t>
        </r>
        <r>
          <rPr>
            <b/>
            <sz val="9"/>
            <color indexed="81"/>
            <rFont val="Tahoma"/>
            <family val="2"/>
          </rPr>
          <t>+</t>
        </r>
        <r>
          <rPr>
            <b/>
            <sz val="9"/>
            <color indexed="81"/>
            <rFont val="돋움"/>
            <family val="3"/>
            <charset val="129"/>
          </rPr>
          <t>교육연구비</t>
        </r>
        <r>
          <rPr>
            <b/>
            <sz val="9"/>
            <color indexed="81"/>
            <rFont val="Tahoma"/>
            <family val="2"/>
          </rPr>
          <t>+</t>
        </r>
        <r>
          <rPr>
            <b/>
            <sz val="9"/>
            <color indexed="81"/>
            <rFont val="돋움"/>
            <family val="3"/>
            <charset val="129"/>
          </rPr>
          <t>정액급식비</t>
        </r>
        <r>
          <rPr>
            <b/>
            <sz val="9"/>
            <color indexed="81"/>
            <rFont val="Tahoma"/>
            <family val="2"/>
          </rPr>
          <t>)/104*</t>
        </r>
        <r>
          <rPr>
            <b/>
            <sz val="9"/>
            <color indexed="81"/>
            <rFont val="돋움"/>
            <family val="3"/>
            <charset val="129"/>
          </rPr>
          <t>초과근무시간</t>
        </r>
        <r>
          <rPr>
            <b/>
            <sz val="9"/>
            <color indexed="81"/>
            <rFont val="Tahoma"/>
            <family val="2"/>
          </rPr>
          <t>*1.5</t>
        </r>
        <r>
          <rPr>
            <b/>
            <sz val="9"/>
            <color indexed="81"/>
            <rFont val="돋움"/>
            <family val="3"/>
            <charset val="129"/>
          </rPr>
          <t>배</t>
        </r>
      </text>
    </comment>
    <comment ref="AS133" authorId="3" shapeId="0">
      <text>
        <r>
          <rPr>
            <b/>
            <sz val="9"/>
            <color indexed="81"/>
            <rFont val="돋움"/>
            <family val="3"/>
            <charset val="129"/>
          </rPr>
          <t>배우자</t>
        </r>
        <r>
          <rPr>
            <b/>
            <sz val="9"/>
            <color indexed="81"/>
            <rFont val="Tahoma"/>
            <family val="2"/>
          </rPr>
          <t xml:space="preserve">(40,000)*20/40=20,000
</t>
        </r>
        <r>
          <rPr>
            <b/>
            <sz val="9"/>
            <color indexed="81"/>
            <rFont val="돋움"/>
            <family val="3"/>
            <charset val="129"/>
          </rPr>
          <t>자녀</t>
        </r>
        <r>
          <rPr>
            <b/>
            <sz val="9"/>
            <color indexed="81"/>
            <rFont val="Tahoma"/>
            <family val="2"/>
          </rPr>
          <t>1(</t>
        </r>
        <r>
          <rPr>
            <b/>
            <sz val="9"/>
            <color indexed="81"/>
            <rFont val="돋움"/>
            <family val="3"/>
            <charset val="129"/>
          </rPr>
          <t>셋째이상</t>
        </r>
        <r>
          <rPr>
            <b/>
            <sz val="9"/>
            <color indexed="81"/>
            <rFont val="Tahoma"/>
            <family val="2"/>
          </rPr>
          <t>)(030222)
(100,000)*20/40=50,000</t>
        </r>
      </text>
    </comment>
    <comment ref="AV133" authorId="3" shapeId="0">
      <text>
        <r>
          <rPr>
            <b/>
            <sz val="9"/>
            <color indexed="81"/>
            <rFont val="Tahoma"/>
            <family val="2"/>
          </rPr>
          <t>2020</t>
        </r>
        <r>
          <rPr>
            <b/>
            <sz val="9"/>
            <color indexed="81"/>
            <rFont val="돋움"/>
            <family val="3"/>
            <charset val="129"/>
          </rPr>
          <t>년</t>
        </r>
        <r>
          <rPr>
            <b/>
            <sz val="9"/>
            <color indexed="81"/>
            <rFont val="Tahoma"/>
            <family val="2"/>
          </rPr>
          <t xml:space="preserve"> </t>
        </r>
        <r>
          <rPr>
            <b/>
            <sz val="9"/>
            <color indexed="81"/>
            <rFont val="돋움"/>
            <family val="3"/>
            <charset val="129"/>
          </rPr>
          <t>단체협약</t>
        </r>
        <r>
          <rPr>
            <b/>
            <sz val="9"/>
            <color indexed="81"/>
            <rFont val="Tahoma"/>
            <family val="2"/>
          </rPr>
          <t xml:space="preserve"> </t>
        </r>
        <r>
          <rPr>
            <b/>
            <sz val="9"/>
            <color indexed="81"/>
            <rFont val="돋움"/>
            <family val="3"/>
            <charset val="129"/>
          </rPr>
          <t>체결
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업무처리기준의</t>
        </r>
        <r>
          <rPr>
            <b/>
            <sz val="9"/>
            <color indexed="81"/>
            <rFont val="Tahoma"/>
            <family val="2"/>
          </rPr>
          <t xml:space="preserve"> </t>
        </r>
        <r>
          <rPr>
            <b/>
            <sz val="9"/>
            <color indexed="81"/>
            <rFont val="돋움"/>
            <family val="3"/>
            <charset val="129"/>
          </rPr>
          <t>대상자가</t>
        </r>
        <r>
          <rPr>
            <b/>
            <sz val="9"/>
            <color indexed="81"/>
            <rFont val="Tahoma"/>
            <family val="2"/>
          </rPr>
          <t xml:space="preserve"> </t>
        </r>
        <r>
          <rPr>
            <b/>
            <sz val="9"/>
            <color indexed="81"/>
            <rFont val="돋움"/>
            <family val="3"/>
            <charset val="129"/>
          </rPr>
          <t xml:space="preserve">아님
</t>
        </r>
        <r>
          <rPr>
            <b/>
            <sz val="9"/>
            <color indexed="81"/>
            <rFont val="Tahoma"/>
            <family val="2"/>
          </rPr>
          <t>(20</t>
        </r>
        <r>
          <rPr>
            <b/>
            <sz val="9"/>
            <color indexed="81"/>
            <rFont val="돋움"/>
            <family val="3"/>
            <charset val="129"/>
          </rPr>
          <t>시간근로자</t>
        </r>
        <r>
          <rPr>
            <b/>
            <sz val="9"/>
            <color indexed="81"/>
            <rFont val="Tahoma"/>
            <family val="2"/>
          </rPr>
          <t xml:space="preserve">)
</t>
        </r>
        <r>
          <rPr>
            <b/>
            <sz val="9"/>
            <color indexed="81"/>
            <rFont val="돋움"/>
            <family val="3"/>
            <charset val="129"/>
          </rPr>
          <t>반액지급</t>
        </r>
      </text>
    </comment>
    <comment ref="AJ136" authorId="3" shapeId="0">
      <text>
        <r>
          <rPr>
            <b/>
            <sz val="9"/>
            <color indexed="81"/>
            <rFont val="Tahoma"/>
            <family val="2"/>
          </rPr>
          <t>admin:</t>
        </r>
        <r>
          <rPr>
            <sz val="9"/>
            <color indexed="81"/>
            <rFont val="Tahoma"/>
            <family val="2"/>
          </rPr>
          <t xml:space="preserve">
</t>
        </r>
        <r>
          <rPr>
            <sz val="9"/>
            <color indexed="81"/>
            <rFont val="돋움"/>
            <family val="3"/>
            <charset val="129"/>
          </rPr>
          <t>시간당</t>
        </r>
        <r>
          <rPr>
            <sz val="9"/>
            <color indexed="81"/>
            <rFont val="Tahoma"/>
            <family val="2"/>
          </rPr>
          <t xml:space="preserve"> 25000</t>
        </r>
        <r>
          <rPr>
            <sz val="9"/>
            <color indexed="81"/>
            <rFont val="돋움"/>
            <family val="3"/>
            <charset val="129"/>
          </rPr>
          <t>원
교감선생님</t>
        </r>
        <r>
          <rPr>
            <sz val="9"/>
            <color indexed="81"/>
            <rFont val="Tahoma"/>
            <family val="2"/>
          </rPr>
          <t xml:space="preserve"> </t>
        </r>
        <r>
          <rPr>
            <sz val="9"/>
            <color indexed="81"/>
            <rFont val="돋움"/>
            <family val="3"/>
            <charset val="129"/>
          </rPr>
          <t>품의</t>
        </r>
      </text>
    </comment>
  </commentList>
</comments>
</file>

<file path=xl/sharedStrings.xml><?xml version="1.0" encoding="utf-8"?>
<sst xmlns="http://schemas.openxmlformats.org/spreadsheetml/2006/main" count="1352" uniqueCount="492">
  <si>
    <t>매년 3.1일에만 A1셀의 학년도 수정할것</t>
    <phoneticPr fontId="3" type="noConversion"/>
  </si>
  <si>
    <t>매년 8월에 조리학습휴가 5일분 지급(여름방학에 일괄사용이 원칙)</t>
    <phoneticPr fontId="3" type="noConversion"/>
  </si>
  <si>
    <t>청색은 일할계산 하는 수당임</t>
    <phoneticPr fontId="3" type="noConversion"/>
  </si>
  <si>
    <t>본인부담금</t>
    <phoneticPr fontId="3" type="noConversion"/>
  </si>
  <si>
    <t>5월에 1번만 공제</t>
    <phoneticPr fontId="3" type="noConversion"/>
  </si>
  <si>
    <t>학교부담금</t>
    <phoneticPr fontId="3" type="noConversion"/>
  </si>
  <si>
    <t>급여지급일</t>
    <phoneticPr fontId="3" type="noConversion"/>
  </si>
  <si>
    <t>학교명</t>
    <phoneticPr fontId="3" type="noConversion"/>
  </si>
  <si>
    <t>남산초등학교</t>
    <phoneticPr fontId="3" type="noConversion"/>
  </si>
  <si>
    <t>청색은 일할계산 하는 수당임</t>
    <phoneticPr fontId="3" type="noConversion"/>
  </si>
  <si>
    <t>2월말에 연차지급</t>
    <phoneticPr fontId="3" type="noConversion"/>
  </si>
  <si>
    <t>국민연금</t>
    <phoneticPr fontId="3" type="noConversion"/>
  </si>
  <si>
    <t>국민건강</t>
    <phoneticPr fontId="3" type="noConversion"/>
  </si>
  <si>
    <t>4대보험은 월60시간(주15시간) 미만은 미가입 가능</t>
    <phoneticPr fontId="3" type="noConversion"/>
  </si>
  <si>
    <t>고용보험</t>
    <phoneticPr fontId="3" type="noConversion"/>
  </si>
  <si>
    <t>산재보험</t>
    <phoneticPr fontId="3" type="noConversion"/>
  </si>
  <si>
    <t>0.9%???</t>
    <phoneticPr fontId="3" type="noConversion"/>
  </si>
  <si>
    <t>순</t>
    <phoneticPr fontId="3" type="noConversion"/>
  </si>
  <si>
    <t>성명</t>
    <phoneticPr fontId="3" type="noConversion"/>
  </si>
  <si>
    <t>직종</t>
    <phoneticPr fontId="3" type="noConversion"/>
  </si>
  <si>
    <t>주민등록번호</t>
    <phoneticPr fontId="3" type="noConversion"/>
  </si>
  <si>
    <t>주소</t>
    <phoneticPr fontId="3" type="noConversion"/>
  </si>
  <si>
    <t>근로형태</t>
    <phoneticPr fontId="3" type="noConversion"/>
  </si>
  <si>
    <t>근무일수</t>
    <phoneticPr fontId="3" type="noConversion"/>
  </si>
  <si>
    <t>최초임용일</t>
    <phoneticPr fontId="3" type="noConversion"/>
  </si>
  <si>
    <t>연차일수계산기산일</t>
    <phoneticPr fontId="3" type="noConversion"/>
  </si>
  <si>
    <r>
      <t xml:space="preserve">근무년수
</t>
    </r>
    <r>
      <rPr>
        <sz val="10"/>
        <color indexed="12"/>
        <rFont val="굴림"/>
        <family val="3"/>
        <charset val="129"/>
      </rPr>
      <t>(학년도 말 기준)</t>
    </r>
    <r>
      <rPr>
        <sz val="10"/>
        <rFont val="굴림"/>
        <family val="3"/>
        <charset val="129"/>
      </rPr>
      <t xml:space="preserve">
(연차일수)</t>
    </r>
    <phoneticPr fontId="3" type="noConversion"/>
  </si>
  <si>
    <r>
      <t xml:space="preserve">근속수당
산정용 근무연수
</t>
    </r>
    <r>
      <rPr>
        <sz val="10"/>
        <color indexed="12"/>
        <rFont val="굴림"/>
        <family val="3"/>
        <charset val="129"/>
      </rPr>
      <t>(3월, 9월 기준)</t>
    </r>
    <phoneticPr fontId="3" type="noConversion"/>
  </si>
  <si>
    <t>이전 근무년수</t>
    <phoneticPr fontId="3" type="noConversion"/>
  </si>
  <si>
    <t>연차일수</t>
    <phoneticPr fontId="3" type="noConversion"/>
  </si>
  <si>
    <t>무기계약전환일</t>
    <phoneticPr fontId="3" type="noConversion"/>
  </si>
  <si>
    <t>금융기관</t>
    <phoneticPr fontId="3" type="noConversion"/>
  </si>
  <si>
    <t>계좌번호</t>
    <phoneticPr fontId="3" type="noConversion"/>
  </si>
  <si>
    <t>정년퇴직일</t>
    <phoneticPr fontId="3" type="noConversion"/>
  </si>
  <si>
    <t>기타</t>
    <phoneticPr fontId="3" type="noConversion"/>
  </si>
  <si>
    <t>기준액</t>
    <phoneticPr fontId="3" type="noConversion"/>
  </si>
  <si>
    <t>근무일수</t>
    <phoneticPr fontId="3" type="noConversion"/>
  </si>
  <si>
    <t>위험일수</t>
    <phoneticPr fontId="3" type="noConversion"/>
  </si>
  <si>
    <t>지급일수</t>
    <phoneticPr fontId="3" type="noConversion"/>
  </si>
  <si>
    <t>당월일수</t>
    <phoneticPr fontId="3" type="noConversion"/>
  </si>
  <si>
    <t>통상임금</t>
    <phoneticPr fontId="3" type="noConversion"/>
  </si>
  <si>
    <t>주당근무시간</t>
    <phoneticPr fontId="3" type="noConversion"/>
  </si>
  <si>
    <t>기본급</t>
    <phoneticPr fontId="3" type="noConversion"/>
  </si>
  <si>
    <t>순회근무수당</t>
    <phoneticPr fontId="3" type="noConversion"/>
  </si>
  <si>
    <t>군지역근무수당</t>
    <phoneticPr fontId="3" type="noConversion"/>
  </si>
  <si>
    <t>교직수당</t>
    <phoneticPr fontId="3" type="noConversion"/>
  </si>
  <si>
    <t>교육연구비</t>
    <phoneticPr fontId="3" type="noConversion"/>
  </si>
  <si>
    <t>근속수당</t>
    <phoneticPr fontId="3" type="noConversion"/>
  </si>
  <si>
    <t>시간외근무수당</t>
    <phoneticPr fontId="3" type="noConversion"/>
  </si>
  <si>
    <t>명절휴가비</t>
    <phoneticPr fontId="3" type="noConversion"/>
  </si>
  <si>
    <t>교통보조비</t>
    <phoneticPr fontId="3" type="noConversion"/>
  </si>
  <si>
    <t>가족수당</t>
    <phoneticPr fontId="3" type="noConversion"/>
  </si>
  <si>
    <t>계약완료지원비</t>
    <phoneticPr fontId="3" type="noConversion"/>
  </si>
  <si>
    <t>정기상여금</t>
    <phoneticPr fontId="3" type="noConversion"/>
  </si>
  <si>
    <t>자녀학비보조수당</t>
    <phoneticPr fontId="3" type="noConversion"/>
  </si>
  <si>
    <t>근로자의날</t>
    <phoneticPr fontId="3" type="noConversion"/>
  </si>
  <si>
    <t>연차수당</t>
    <phoneticPr fontId="3" type="noConversion"/>
  </si>
  <si>
    <t>퇴직금</t>
    <phoneticPr fontId="3" type="noConversion"/>
  </si>
  <si>
    <t>급여계</t>
    <phoneticPr fontId="3" type="noConversion"/>
  </si>
  <si>
    <t>보수월액1</t>
    <phoneticPr fontId="3" type="noConversion"/>
  </si>
  <si>
    <t>보수월액2</t>
    <phoneticPr fontId="3" type="noConversion"/>
  </si>
  <si>
    <t>소득세</t>
    <phoneticPr fontId="3" type="noConversion"/>
  </si>
  <si>
    <t>국민연금</t>
    <phoneticPr fontId="3" type="noConversion"/>
  </si>
  <si>
    <t>건강보험</t>
    <phoneticPr fontId="3" type="noConversion"/>
  </si>
  <si>
    <t>고용보험실업급여</t>
    <phoneticPr fontId="3" type="noConversion"/>
  </si>
  <si>
    <t>교직원공제회</t>
    <phoneticPr fontId="3" type="noConversion"/>
  </si>
  <si>
    <t>우유비</t>
    <phoneticPr fontId="3" type="noConversion"/>
  </si>
  <si>
    <t>기타공제</t>
    <phoneticPr fontId="3" type="noConversion"/>
  </si>
  <si>
    <t>공제계</t>
    <phoneticPr fontId="3" type="noConversion"/>
  </si>
  <si>
    <t>실수령액</t>
    <phoneticPr fontId="3" type="noConversion"/>
  </si>
  <si>
    <t>보수월액3</t>
    <phoneticPr fontId="3" type="noConversion"/>
  </si>
  <si>
    <t>보수월액4</t>
    <phoneticPr fontId="3" type="noConversion"/>
  </si>
  <si>
    <t>맞춤형복지비</t>
    <phoneticPr fontId="3" type="noConversion"/>
  </si>
  <si>
    <t>국민연금2</t>
    <phoneticPr fontId="3" type="noConversion"/>
  </si>
  <si>
    <t>건강보험2</t>
    <phoneticPr fontId="3" type="noConversion"/>
  </si>
  <si>
    <t>장기요양보험2</t>
    <phoneticPr fontId="3" type="noConversion"/>
  </si>
  <si>
    <t>건강보험정산분2</t>
    <phoneticPr fontId="3" type="noConversion"/>
  </si>
  <si>
    <t>고용보험실업급여2</t>
    <phoneticPr fontId="3" type="noConversion"/>
  </si>
  <si>
    <t>고용안정사업2</t>
    <phoneticPr fontId="3" type="noConversion"/>
  </si>
  <si>
    <t>장기요양보험정산분2</t>
    <phoneticPr fontId="3" type="noConversion"/>
  </si>
  <si>
    <t>고용보험정산분2</t>
    <phoneticPr fontId="3" type="noConversion"/>
  </si>
  <si>
    <t>산재보험2</t>
    <phoneticPr fontId="3" type="noConversion"/>
  </si>
  <si>
    <t>학교소계</t>
    <phoneticPr fontId="3" type="noConversion"/>
  </si>
  <si>
    <t>산재보험정산분2</t>
    <phoneticPr fontId="3" type="noConversion"/>
  </si>
  <si>
    <t>고용보험합계</t>
    <phoneticPr fontId="3" type="noConversion"/>
  </si>
  <si>
    <t xml:space="preserve">고용,산재 </t>
    <phoneticPr fontId="3" type="noConversion"/>
  </si>
  <si>
    <t>특수운영직군(청소원)</t>
    <phoneticPr fontId="3" type="noConversion"/>
  </si>
  <si>
    <t>상시근무자</t>
    <phoneticPr fontId="3" type="noConversion"/>
  </si>
  <si>
    <t>농협</t>
    <phoneticPr fontId="3" type="noConversion"/>
  </si>
  <si>
    <t>주27.5시간</t>
    <phoneticPr fontId="3" type="noConversion"/>
  </si>
  <si>
    <t>돌봄전담사</t>
    <phoneticPr fontId="3" type="noConversion"/>
  </si>
  <si>
    <t>농협</t>
    <phoneticPr fontId="3" type="noConversion"/>
  </si>
  <si>
    <t>주20시간</t>
    <phoneticPr fontId="3" type="noConversion"/>
  </si>
  <si>
    <t>주25시간</t>
    <phoneticPr fontId="3" type="noConversion"/>
  </si>
  <si>
    <t>조리원</t>
  </si>
  <si>
    <t>방학중 비근무자</t>
    <phoneticPr fontId="3" type="noConversion"/>
  </si>
  <si>
    <t>주40시간</t>
    <phoneticPr fontId="3" type="noConversion"/>
  </si>
  <si>
    <t>방학중 비근무자</t>
    <phoneticPr fontId="3" type="noConversion"/>
  </si>
  <si>
    <t>농협</t>
    <phoneticPr fontId="3" type="noConversion"/>
  </si>
  <si>
    <t>주40시간</t>
    <phoneticPr fontId="3" type="noConversion"/>
  </si>
  <si>
    <t>조리원</t>
    <phoneticPr fontId="3" type="noConversion"/>
  </si>
  <si>
    <t>유치원방과후과정전담사</t>
    <phoneticPr fontId="3" type="noConversion"/>
  </si>
  <si>
    <t>주20시간</t>
    <phoneticPr fontId="3" type="noConversion"/>
  </si>
  <si>
    <t>없음</t>
    <phoneticPr fontId="3" type="noConversion"/>
  </si>
  <si>
    <t>21.02.28</t>
    <phoneticPr fontId="3" type="noConversion"/>
  </si>
  <si>
    <t>원어민영어보조교사</t>
    <phoneticPr fontId="3" type="noConversion"/>
  </si>
  <si>
    <t>방학중 근무자</t>
    <phoneticPr fontId="3" type="noConversion"/>
  </si>
  <si>
    <t>상시근무자</t>
    <phoneticPr fontId="3" type="noConversion"/>
  </si>
  <si>
    <t>문단속요원</t>
    <phoneticPr fontId="3" type="noConversion"/>
  </si>
  <si>
    <t>주14시간</t>
    <phoneticPr fontId="3" type="noConversion"/>
  </si>
  <si>
    <t>계</t>
    <phoneticPr fontId="3" type="noConversion"/>
  </si>
  <si>
    <t>산재보험</t>
    <phoneticPr fontId="3" type="noConversion"/>
  </si>
  <si>
    <t>본인부담금</t>
    <phoneticPr fontId="3" type="noConversion"/>
  </si>
  <si>
    <t>학교부담금</t>
    <phoneticPr fontId="3" type="noConversion"/>
  </si>
  <si>
    <t>합계</t>
    <phoneticPr fontId="3" type="noConversion"/>
  </si>
  <si>
    <t>&lt;--500원 할인전</t>
    <phoneticPr fontId="3" type="noConversion"/>
  </si>
  <si>
    <t>연차일수</t>
    <phoneticPr fontId="3" type="noConversion"/>
  </si>
  <si>
    <t>근무연수</t>
    <phoneticPr fontId="3" type="noConversion"/>
  </si>
  <si>
    <t>기본</t>
    <phoneticPr fontId="3" type="noConversion"/>
  </si>
  <si>
    <t>가산일수</t>
    <phoneticPr fontId="3" type="noConversion"/>
  </si>
  <si>
    <t>고용형태</t>
    <phoneticPr fontId="3" type="noConversion"/>
  </si>
  <si>
    <t>임금지급</t>
  </si>
  <si>
    <t>근속연수별 근속수당 월별 지급금액-연도별</t>
    <phoneticPr fontId="3" type="noConversion"/>
  </si>
  <si>
    <t>무기계약직원</t>
    <phoneticPr fontId="3" type="noConversion"/>
  </si>
  <si>
    <t>연봉제</t>
  </si>
  <si>
    <t>근속년수</t>
  </si>
  <si>
    <t>2019.10부터</t>
    <phoneticPr fontId="3" type="noConversion"/>
  </si>
  <si>
    <t>2020.3부터</t>
    <phoneticPr fontId="3" type="noConversion"/>
  </si>
  <si>
    <t>1년미만은 미지급</t>
    <phoneticPr fontId="3" type="noConversion"/>
  </si>
  <si>
    <t>2018.11부터</t>
    <phoneticPr fontId="3" type="noConversion"/>
  </si>
  <si>
    <t>기간제직원</t>
    <phoneticPr fontId="3" type="noConversion"/>
  </si>
  <si>
    <t>월급제</t>
    <phoneticPr fontId="3" type="noConversion"/>
  </si>
  <si>
    <t>단시간직원</t>
    <phoneticPr fontId="3" type="noConversion"/>
  </si>
  <si>
    <t>일급제</t>
    <phoneticPr fontId="3" type="noConversion"/>
  </si>
  <si>
    <t>시급제</t>
    <phoneticPr fontId="3" type="noConversion"/>
  </si>
  <si>
    <t>학년도를 말함</t>
    <phoneticPr fontId="3" type="noConversion"/>
  </si>
  <si>
    <t>월기준</t>
    <phoneticPr fontId="3" type="noConversion"/>
  </si>
  <si>
    <t>39년이상</t>
    <phoneticPr fontId="3" type="noConversion"/>
  </si>
  <si>
    <t>한도 25일</t>
    <phoneticPr fontId="28" type="noConversion"/>
  </si>
  <si>
    <t>학년도를 말함</t>
    <phoneticPr fontId="3" type="noConversion"/>
  </si>
  <si>
    <t>회계구분</t>
  </si>
  <si>
    <t>성명</t>
  </si>
  <si>
    <t>학교부담금</t>
    <phoneticPr fontId="3" type="noConversion"/>
  </si>
  <si>
    <t>본인부담금</t>
    <phoneticPr fontId="3" type="noConversion"/>
  </si>
  <si>
    <t>합계</t>
    <phoneticPr fontId="3" type="noConversion"/>
  </si>
  <si>
    <t>건강보험2</t>
    <phoneticPr fontId="3" type="noConversion"/>
  </si>
  <si>
    <t>장기요양보험2</t>
  </si>
  <si>
    <t>국민연금2</t>
  </si>
  <si>
    <t>고용보험실업급여2</t>
  </si>
  <si>
    <t>고용안정사업2</t>
  </si>
  <si>
    <t>건강보험정산분2</t>
  </si>
  <si>
    <t>장기요양보험정산분2</t>
    <phoneticPr fontId="3" type="noConversion"/>
  </si>
  <si>
    <t>고용보험정산분2</t>
    <phoneticPr fontId="3" type="noConversion"/>
  </si>
  <si>
    <t>산재보험2</t>
  </si>
  <si>
    <t>산재보험정산분2</t>
    <phoneticPr fontId="3" type="noConversion"/>
  </si>
  <si>
    <t>소계</t>
    <phoneticPr fontId="3" type="noConversion"/>
  </si>
  <si>
    <t>건강보험</t>
  </si>
  <si>
    <t>장기요양보험</t>
  </si>
  <si>
    <t>국민연금</t>
  </si>
  <si>
    <t>고용보험실업급여</t>
    <phoneticPr fontId="3" type="noConversion"/>
  </si>
  <si>
    <t>학교회계</t>
  </si>
  <si>
    <t>소계</t>
    <phoneticPr fontId="3" type="noConversion"/>
  </si>
  <si>
    <t>세외</t>
    <phoneticPr fontId="3" type="noConversion"/>
  </si>
  <si>
    <t>합계</t>
  </si>
  <si>
    <t>건강보험(장기요양)</t>
    <phoneticPr fontId="3" type="noConversion"/>
  </si>
  <si>
    <t>고용보험</t>
  </si>
  <si>
    <t>산재보험</t>
  </si>
  <si>
    <t>월별</t>
    <phoneticPr fontId="3" type="noConversion"/>
  </si>
  <si>
    <t>건강보험2</t>
    <phoneticPr fontId="3" type="noConversion"/>
  </si>
  <si>
    <t>장기요양보험정산분2</t>
    <phoneticPr fontId="3" type="noConversion"/>
  </si>
  <si>
    <t>고용보험정산분2</t>
    <phoneticPr fontId="3" type="noConversion"/>
  </si>
  <si>
    <t>산재보험정산분2</t>
    <phoneticPr fontId="3" type="noConversion"/>
  </si>
  <si>
    <t>소계</t>
    <phoneticPr fontId="3" type="noConversion"/>
  </si>
  <si>
    <t>고용보험실업급여</t>
    <phoneticPr fontId="3" type="noConversion"/>
  </si>
  <si>
    <t>건강보험정산분</t>
    <phoneticPr fontId="3" type="noConversion"/>
  </si>
  <si>
    <t>장기요양보험정산분</t>
    <phoneticPr fontId="3" type="noConversion"/>
  </si>
  <si>
    <t>고용보험정산분</t>
    <phoneticPr fontId="3" type="noConversion"/>
  </si>
  <si>
    <t>합계</t>
    <phoneticPr fontId="3" type="noConversion"/>
  </si>
  <si>
    <t>2020년도(1월~12월)</t>
    <phoneticPr fontId="3" type="noConversion"/>
  </si>
  <si>
    <t>순</t>
    <phoneticPr fontId="3" type="noConversion"/>
  </si>
  <si>
    <t>성명</t>
    <phoneticPr fontId="3" type="noConversion"/>
  </si>
  <si>
    <t>직종</t>
    <phoneticPr fontId="3" type="noConversion"/>
  </si>
  <si>
    <t>최초임용일</t>
    <phoneticPr fontId="3" type="noConversion"/>
  </si>
  <si>
    <t>기본급</t>
    <phoneticPr fontId="3" type="noConversion"/>
  </si>
  <si>
    <t>근속수당</t>
    <phoneticPr fontId="3" type="noConversion"/>
  </si>
  <si>
    <t>명절휴가비</t>
    <phoneticPr fontId="3" type="noConversion"/>
  </si>
  <si>
    <t>교통보조비</t>
    <phoneticPr fontId="3" type="noConversion"/>
  </si>
  <si>
    <t>가족수당</t>
    <phoneticPr fontId="3" type="noConversion"/>
  </si>
  <si>
    <t>시간외근무수당</t>
    <phoneticPr fontId="3" type="noConversion"/>
  </si>
  <si>
    <t>정기상여금</t>
    <phoneticPr fontId="3" type="noConversion"/>
  </si>
  <si>
    <t>수당소계</t>
    <phoneticPr fontId="3" type="noConversion"/>
  </si>
  <si>
    <t>급여계</t>
    <phoneticPr fontId="3" type="noConversion"/>
  </si>
  <si>
    <t>소득세</t>
    <phoneticPr fontId="3" type="noConversion"/>
  </si>
  <si>
    <t>국민연금</t>
    <phoneticPr fontId="3" type="noConversion"/>
  </si>
  <si>
    <t>건강보험</t>
    <phoneticPr fontId="3" type="noConversion"/>
  </si>
  <si>
    <t>교직원공제회</t>
    <phoneticPr fontId="3" type="noConversion"/>
  </si>
  <si>
    <t>공제계</t>
    <phoneticPr fontId="3" type="noConversion"/>
  </si>
  <si>
    <t>실수령액</t>
    <phoneticPr fontId="3" type="noConversion"/>
  </si>
  <si>
    <t>교직수당</t>
    <phoneticPr fontId="3" type="noConversion"/>
  </si>
  <si>
    <t>자녀학비보조수당</t>
    <phoneticPr fontId="3" type="noConversion"/>
  </si>
  <si>
    <t>순회근무수당</t>
    <phoneticPr fontId="3" type="noConversion"/>
  </si>
  <si>
    <t>근로자의날</t>
    <phoneticPr fontId="3" type="noConversion"/>
  </si>
  <si>
    <t>가족수당</t>
  </si>
  <si>
    <t>방학중 근무자</t>
  </si>
  <si>
    <t>교특</t>
  </si>
  <si>
    <t>농협</t>
  </si>
  <si>
    <t>주40시간</t>
  </si>
  <si>
    <t>방학중 비근무자</t>
  </si>
  <si>
    <t>특수운영직군</t>
  </si>
  <si>
    <t>주25시간
최초18.10.01</t>
  </si>
  <si>
    <t>주20시간,
최초14.03.10</t>
  </si>
  <si>
    <t>유치원쪽</t>
  </si>
  <si>
    <t>주20시간
최초14.03.03</t>
  </si>
  <si>
    <t>없음</t>
  </si>
  <si>
    <t>일당35,봉사직</t>
  </si>
  <si>
    <t>고정급,주12시간,
토요일 포함</t>
  </si>
  <si>
    <t>방학중근무자</t>
  </si>
  <si>
    <t>시간제,9호봉
1일4시간</t>
  </si>
  <si>
    <t>체류자격:회화(E-2)</t>
  </si>
  <si>
    <t>주40시간
월,화,목 급식</t>
  </si>
  <si>
    <t>20.08.25까지</t>
  </si>
  <si>
    <t>총합계</t>
    <phoneticPr fontId="3" type="noConversion"/>
  </si>
  <si>
    <t>2020년도(1월~12월)</t>
    <phoneticPr fontId="3" type="noConversion"/>
  </si>
  <si>
    <t>연말정산시 4대보험료는 홈택스 간소화서비스에서 받은 자료를 이용할것</t>
    <phoneticPr fontId="3" type="noConversion"/>
  </si>
  <si>
    <t>주근무시간 비례</t>
    <phoneticPr fontId="3" type="noConversion"/>
  </si>
  <si>
    <t>2018년 2월 연차수당 지급시 209시간 처음 적용</t>
    <phoneticPr fontId="3" type="noConversion"/>
  </si>
  <si>
    <t>성명</t>
    <phoneticPr fontId="3" type="noConversion"/>
  </si>
  <si>
    <t>직종</t>
    <phoneticPr fontId="3" type="noConversion"/>
  </si>
  <si>
    <t>근로형태</t>
    <phoneticPr fontId="3" type="noConversion"/>
  </si>
  <si>
    <t>최초임용일</t>
    <phoneticPr fontId="3" type="noConversion"/>
  </si>
  <si>
    <t>연차일수계산기산일</t>
    <phoneticPr fontId="3" type="noConversion"/>
  </si>
  <si>
    <t>기본급</t>
    <phoneticPr fontId="3" type="noConversion"/>
  </si>
  <si>
    <t>근속수당</t>
    <phoneticPr fontId="3" type="noConversion"/>
  </si>
  <si>
    <t>교통보조비</t>
    <phoneticPr fontId="3" type="noConversion"/>
  </si>
  <si>
    <t>월간임금
총액</t>
    <phoneticPr fontId="3" type="noConversion"/>
  </si>
  <si>
    <t>월간근로시간</t>
    <phoneticPr fontId="3" type="noConversion"/>
  </si>
  <si>
    <t>시간당단가</t>
    <phoneticPr fontId="3" type="noConversion"/>
  </si>
  <si>
    <t>주당근무시간</t>
  </si>
  <si>
    <t>통상임금
(시간단가*8시간)</t>
    <phoneticPr fontId="3" type="noConversion"/>
  </si>
  <si>
    <t>1.5배</t>
    <phoneticPr fontId="3" type="noConversion"/>
  </si>
  <si>
    <t>비고</t>
    <phoneticPr fontId="3" type="noConversion"/>
  </si>
  <si>
    <t>변경전(243시간):  (주 40시간+토요일 유급 8시간+주휴일 8시간)×365일/7일/12월</t>
    <phoneticPr fontId="3" type="noConversion"/>
  </si>
  <si>
    <t>변경후(209시간):  (주 40시간+주휴일 8시간)×365일/7일/12월</t>
    <phoneticPr fontId="3" type="noConversion"/>
  </si>
  <si>
    <t>변경전은 토요일 유급휴무일, 변경후는 토요일 무급휴무일</t>
    <phoneticPr fontId="3" type="noConversion"/>
  </si>
  <si>
    <t>합    계</t>
    <phoneticPr fontId="3" type="noConversion"/>
  </si>
  <si>
    <t>제18조(단시간근로자의 근로조건)  ①~2항 생략</t>
    <phoneticPr fontId="3" type="noConversion"/>
  </si>
  <si>
    <t xml:space="preserve">③ 4주 동안(4주 미만으로 근로하는 경우에는 그 기간)을 평균하여 1주 동안의 소정근로시간이 15시간 미만인 근로자에 대하여는 제55조와 제60조를 적용하지 아니한다.  &lt;개정 2008.3.21.&gt;
</t>
    <phoneticPr fontId="3" type="noConversion"/>
  </si>
  <si>
    <t>제55조(휴일) 사용자는 근로자에게 1주일에 평균 1회 이상의 유급휴일을 주어야 한다.</t>
    <phoneticPr fontId="3" type="noConversion"/>
  </si>
  <si>
    <t>제60조(연차 유급휴가) ① 사용자는 1년간 80퍼센트 이상 출근한 근로자에게 15일의 유급휴가를 주어야 한다.  &lt;개정 2012.2.1.&gt;</t>
    <phoneticPr fontId="3" type="noConversion"/>
  </si>
  <si>
    <t>② 사용자는 계속하여 근로한 기간이 1년 미만인 근로자 또는 1년간 80퍼센트 미만 출근한 근로자에게 1개월 개근 시 1일의 유급휴가를 주어야 한다.  &lt;개정 2012.2.1.&gt;</t>
    <phoneticPr fontId="3" type="noConversion"/>
  </si>
  <si>
    <t>③ 사용자는 근로자의 최초 1년 간의 근로에 대하여 유급휴가를 주는 경우에는 제2항에 따른 휴가를 포함하여 15일로 하고, 근로자가 제2항에 따른 휴가를 이미 사용한 경우에는 그 사용한 휴가 일수를 15일에서 뺀다.</t>
    <phoneticPr fontId="3" type="noConversion"/>
  </si>
  <si>
    <t>④ 사용자는 3년 이상 계속하여 근로한 근로자에게는 제1항에 따른 휴가에 최초 1년을 초과하는 계속 근로 연수 매 2년에 대하여 1일을 가산한 유급휴가를 주어야 한다. 이 경우 가산휴가를 포함한 총 휴가 일수는 25일을 한도로 한다.</t>
    <phoneticPr fontId="3" type="noConversion"/>
  </si>
  <si>
    <t>근로기준법</t>
    <phoneticPr fontId="3" type="noConversion"/>
  </si>
  <si>
    <t>제18조(단시간근로자의 근로조건) ① 단시간근로자의 근로조건은 그 사업장의 같은 종류의 업무에 종사하는 통상 근로자의 근로시간을 기준으로 산정한 비율에 따라 결정되어야 한다.</t>
    <phoneticPr fontId="3" type="noConversion"/>
  </si>
  <si>
    <t>② 제1항에 따라 근로조건을 결정할 때에 기준이 되는 사항이나 그 밖에 필요한 사항은 대통령령으로 정한다.</t>
    <phoneticPr fontId="3" type="noConversion"/>
  </si>
  <si>
    <r>
      <t xml:space="preserve">③ 4주 동안(4주 미만으로 근로하는 경우에는 그 기간)을 평균하여 1주 동안의 소정근로시간이 </t>
    </r>
    <r>
      <rPr>
        <b/>
        <sz val="12"/>
        <color indexed="8"/>
        <rFont val="굴림"/>
        <family val="3"/>
        <charset val="129"/>
      </rPr>
      <t>15시간 미만인 근로자</t>
    </r>
    <r>
      <rPr>
        <sz val="10"/>
        <color indexed="8"/>
        <rFont val="굴림"/>
        <family val="3"/>
        <charset val="129"/>
      </rPr>
      <t xml:space="preserve">에 대하여는 제55조와 </t>
    </r>
    <r>
      <rPr>
        <b/>
        <sz val="12"/>
        <color indexed="8"/>
        <rFont val="굴림"/>
        <family val="3"/>
        <charset val="129"/>
      </rPr>
      <t>제60조를 적용하지 아니한다</t>
    </r>
    <r>
      <rPr>
        <sz val="10"/>
        <color indexed="8"/>
        <rFont val="굴림"/>
        <family val="3"/>
        <charset val="129"/>
      </rPr>
      <t>.  &lt;개정 2008.3.21.&gt;</t>
    </r>
    <phoneticPr fontId="3" type="noConversion"/>
  </si>
  <si>
    <t>⑤ 사용자는 제1항부터 제4항까지의 규정에 따른 휴가를 근로자가 청구한 시기에 주어야 하고, 그 기간에 대하여는 취업규칙 등에서 정하는 통상임금 또는 평균임금을 지급하여야 한다. 다만, 근로자가 청구한 시기에 휴가를 주는 것이 사업 운영에 막대한 지장이 있는 경우에는 그 시기를 변경할 수 있다.</t>
    <phoneticPr fontId="3" type="noConversion"/>
  </si>
  <si>
    <t>⑥ 제1항부터 제3항까지의 규정을 적용하는 경우 다음 각 호의 어느 하나에 해당하는 기간은 출근한 것으로 본다.  &lt;개정 2012.2.1.&gt;</t>
    <phoneticPr fontId="3" type="noConversion"/>
  </si>
  <si>
    <t>1. 근로자가 업무상의 부상 또는 질병으로 휴업한 기간</t>
    <phoneticPr fontId="3" type="noConversion"/>
  </si>
  <si>
    <t>2. 임신 중의 여성이 제74조제1항부터 제3항까지의 규정에 따른 휴가로 휴업한 기간</t>
    <phoneticPr fontId="3" type="noConversion"/>
  </si>
  <si>
    <t>⑦ 제1항부터 제4항까지의 규정에 따른 휴가는 1년간 행사하지 아니하면 소멸된다. 다만, 사용자의 귀책사유로 사용하지 못한 경우에는 그러하지 아니하다.</t>
    <phoneticPr fontId="3" type="noConversion"/>
  </si>
  <si>
    <t>상시근무자</t>
    <phoneticPr fontId="3" type="noConversion"/>
  </si>
  <si>
    <t>교육연구비</t>
    <phoneticPr fontId="3" type="noConversion"/>
  </si>
  <si>
    <t xml:space="preserve">                                                                                                                                                                                                                                                                                                                                                                                                                                                                                                                                                                                                                                                                                                                                                                                                                                                                                                                                                                                                                                                                                                                                                                                                                                                                                                                                                             </t>
    <phoneticPr fontId="3" type="noConversion"/>
  </si>
  <si>
    <t>남산초등학교</t>
  </si>
  <si>
    <t>정액급식비는 21.01.01.부터 13만원에서 14만원으로 인상됨</t>
    <phoneticPr fontId="3" type="noConversion"/>
  </si>
  <si>
    <t>10호봉</t>
    <phoneticPr fontId="3" type="noConversion"/>
  </si>
  <si>
    <r>
      <t>조리학습휴가 5일은 위험수당제외할것</t>
    </r>
    <r>
      <rPr>
        <b/>
        <sz val="8"/>
        <color indexed="12"/>
        <rFont val="굴림"/>
        <family val="3"/>
        <charset val="129"/>
      </rPr>
      <t/>
    </r>
  </si>
  <si>
    <r>
      <t>조리학습휴가 5일은 위험수당제외할것</t>
    </r>
    <r>
      <rPr>
        <b/>
        <sz val="8"/>
        <color indexed="12"/>
        <rFont val="굴림"/>
        <family val="3"/>
        <charset val="129"/>
      </rPr>
      <t/>
    </r>
    <phoneticPr fontId="3" type="noConversion"/>
  </si>
  <si>
    <t>농협</t>
    <phoneticPr fontId="3" type="noConversion"/>
  </si>
  <si>
    <t>기타공제</t>
    <phoneticPr fontId="3" type="noConversion"/>
  </si>
  <si>
    <t>기간제</t>
  </si>
  <si>
    <t>상시근무자</t>
  </si>
  <si>
    <t>주27.5시간</t>
  </si>
  <si>
    <t>주20시간</t>
  </si>
  <si>
    <t>주25시간</t>
  </si>
  <si>
    <t>수익자</t>
  </si>
  <si>
    <t>조리학습휴가 5일은 위험수당제외할것</t>
  </si>
  <si>
    <t/>
  </si>
  <si>
    <t>21.02.28</t>
  </si>
  <si>
    <t>순회근무(목금-서부초)</t>
  </si>
  <si>
    <t>주14시간</t>
  </si>
  <si>
    <t>주13.5시간</t>
  </si>
  <si>
    <t>위험</t>
  </si>
  <si>
    <t>지급일:</t>
    <phoneticPr fontId="89" type="noConversion"/>
  </si>
  <si>
    <t>성명</t>
    <phoneticPr fontId="89" type="noConversion"/>
  </si>
  <si>
    <t>생년월일</t>
    <phoneticPr fontId="89" type="noConversion"/>
  </si>
  <si>
    <t>소속</t>
    <phoneticPr fontId="89" type="noConversion"/>
  </si>
  <si>
    <t>직종</t>
    <phoneticPr fontId="89" type="noConversion"/>
  </si>
  <si>
    <t>근속수당 경력년수</t>
    <phoneticPr fontId="89" type="noConversion"/>
  </si>
  <si>
    <t>가족수</t>
    <phoneticPr fontId="89" type="noConversion"/>
  </si>
  <si>
    <t>세부 내역</t>
    <phoneticPr fontId="89" type="noConversion"/>
  </si>
  <si>
    <t>지급</t>
    <phoneticPr fontId="89" type="noConversion"/>
  </si>
  <si>
    <t>공제</t>
    <phoneticPr fontId="89" type="noConversion"/>
  </si>
  <si>
    <t>임금항목</t>
    <phoneticPr fontId="89" type="noConversion"/>
  </si>
  <si>
    <t>지급 금액(원)</t>
    <phoneticPr fontId="89" type="noConversion"/>
  </si>
  <si>
    <t>공제 항목</t>
    <phoneticPr fontId="89" type="noConversion"/>
  </si>
  <si>
    <t>공제 금액(원)</t>
    <phoneticPr fontId="89" type="noConversion"/>
  </si>
  <si>
    <t>매월 지급</t>
    <phoneticPr fontId="89" type="noConversion"/>
  </si>
  <si>
    <t>기본급</t>
    <phoneticPr fontId="89" type="noConversion"/>
  </si>
  <si>
    <t>소득세</t>
    <phoneticPr fontId="89" type="noConversion"/>
  </si>
  <si>
    <t>근속수당</t>
    <phoneticPr fontId="89" type="noConversion"/>
  </si>
  <si>
    <t>지방소득세</t>
    <phoneticPr fontId="89" type="noConversion"/>
  </si>
  <si>
    <t>급식비</t>
    <phoneticPr fontId="89" type="noConversion"/>
  </si>
  <si>
    <t>국민연금</t>
    <phoneticPr fontId="89" type="noConversion"/>
  </si>
  <si>
    <t>면허가산수당</t>
    <phoneticPr fontId="89" type="noConversion"/>
  </si>
  <si>
    <t>건강보험</t>
    <phoneticPr fontId="89" type="noConversion"/>
  </si>
  <si>
    <t>기술정보수당</t>
    <phoneticPr fontId="89" type="noConversion"/>
  </si>
  <si>
    <t>식비</t>
    <phoneticPr fontId="89" type="noConversion"/>
  </si>
  <si>
    <t>연장근로수당</t>
  </si>
  <si>
    <t>휴일근로수당</t>
  </si>
  <si>
    <t>야간근로수당</t>
  </si>
  <si>
    <t>부정기 지급</t>
    <phoneticPr fontId="89" type="noConversion"/>
  </si>
  <si>
    <t>명절휴가비</t>
    <phoneticPr fontId="89" type="noConversion"/>
  </si>
  <si>
    <t>정기상여금</t>
    <phoneticPr fontId="89" type="noConversion"/>
  </si>
  <si>
    <t>공제액 계</t>
    <phoneticPr fontId="89" type="noConversion"/>
  </si>
  <si>
    <t>실수령액(원)</t>
    <phoneticPr fontId="89" type="noConversion"/>
  </si>
  <si>
    <t>통상시급(원)</t>
    <phoneticPr fontId="89" type="noConversion"/>
  </si>
  <si>
    <t>법내 연장근로시간수</t>
    <phoneticPr fontId="89" type="noConversion"/>
  </si>
  <si>
    <t>연장근로시간수</t>
  </si>
  <si>
    <t>휴일근로시간수</t>
  </si>
  <si>
    <t>야간근로시간수</t>
  </si>
  <si>
    <t>계산방법</t>
    <phoneticPr fontId="89" type="noConversion"/>
  </si>
  <si>
    <t>구분</t>
    <phoneticPr fontId="89" type="noConversion"/>
  </si>
  <si>
    <t>산출식 또는 산출방법</t>
    <phoneticPr fontId="89" type="noConversion"/>
  </si>
  <si>
    <t>지급액(원)</t>
    <phoneticPr fontId="89" type="noConversion"/>
  </si>
  <si>
    <t>연장근로수당</t>
    <phoneticPr fontId="89" type="noConversion"/>
  </si>
  <si>
    <t>연장근로시간×통상시급×1.5배</t>
    <phoneticPr fontId="89" type="noConversion"/>
  </si>
  <si>
    <t>휴일근로수당</t>
    <phoneticPr fontId="89" type="noConversion"/>
  </si>
  <si>
    <t>휴일근로시간×통상시급×1.5배</t>
    <phoneticPr fontId="89" type="noConversion"/>
  </si>
  <si>
    <t>야간근로시간×통상시급×0.5배</t>
    <phoneticPr fontId="89" type="noConversion"/>
  </si>
  <si>
    <t>근속수당</t>
    <phoneticPr fontId="89" type="noConversion"/>
  </si>
  <si>
    <t>가족수당</t>
    <phoneticPr fontId="89" type="noConversion"/>
  </si>
  <si>
    <t>※ 배우자: 월 4만원, 자녀: 첫째 월 2만원, 둘째 월 6만원, 셋째 이후 월 10만원</t>
    <phoneticPr fontId="89" type="noConversion"/>
  </si>
  <si>
    <t>※ 세부적인 지급기준 및 산출방법은 「교육공무직원 노무관리 길라잡이」 등 관련 지침 참조</t>
    <phoneticPr fontId="89" type="noConversion"/>
  </si>
  <si>
    <t>※ (서식 참고)자유롭게 양식을 활용하여 사용할 수 있음</t>
    <phoneticPr fontId="89" type="noConversion"/>
  </si>
  <si>
    <t>※ 임금명세서를 2부 작성하여 각급 기관(학교)과 교육공무직원이 각각 1부 보관</t>
    <phoneticPr fontId="89" type="noConversion"/>
  </si>
  <si>
    <t>수령확인</t>
    <phoneticPr fontId="89" type="noConversion"/>
  </si>
  <si>
    <t>가족수</t>
    <phoneticPr fontId="3" type="noConversion"/>
  </si>
  <si>
    <t>최종근무년수
(근속수당)</t>
    <phoneticPr fontId="3" type="noConversion"/>
  </si>
  <si>
    <t>위험근무수당</t>
    <phoneticPr fontId="89" type="noConversion"/>
  </si>
  <si>
    <t>(서명)</t>
    <phoneticPr fontId="89" type="noConversion"/>
  </si>
  <si>
    <t>노인장기요양보험</t>
    <phoneticPr fontId="89" type="noConversion"/>
  </si>
  <si>
    <t>고용보험실업급여</t>
    <phoneticPr fontId="3" type="noConversion"/>
  </si>
  <si>
    <t>위험근무수당</t>
    <phoneticPr fontId="3" type="noConversion"/>
  </si>
  <si>
    <t>자녀학비보조수당</t>
    <phoneticPr fontId="3" type="noConversion"/>
  </si>
  <si>
    <t>연차수당</t>
    <phoneticPr fontId="3" type="noConversion"/>
  </si>
  <si>
    <t>노인장기요양보험정산</t>
    <phoneticPr fontId="3" type="noConversion"/>
  </si>
  <si>
    <t>고용보험정산</t>
    <phoneticPr fontId="3" type="noConversion"/>
  </si>
  <si>
    <t>건강보험정산</t>
    <phoneticPr fontId="3" type="noConversion"/>
  </si>
  <si>
    <t>고용보험정산</t>
    <phoneticPr fontId="3" type="noConversion"/>
  </si>
  <si>
    <t>노인장기요양보험정산</t>
    <phoneticPr fontId="3" type="noConversion"/>
  </si>
  <si>
    <t>건강보험정산</t>
    <phoneticPr fontId="3" type="noConversion"/>
  </si>
  <si>
    <t>국민연금정산</t>
    <phoneticPr fontId="3" type="noConversion"/>
  </si>
  <si>
    <t xml:space="preserve">최초임용일: </t>
    <phoneticPr fontId="3" type="noConversion"/>
  </si>
  <si>
    <t>※ 경력산정기준일(학교: 3. 1./ 9. 1., 교육행정기관: 1. 1./ 7. 1.)</t>
    <phoneticPr fontId="3" type="noConversion"/>
  </si>
  <si>
    <t>배우자 1명</t>
    <phoneticPr fontId="3" type="noConversion"/>
  </si>
  <si>
    <t>배우자 1명</t>
    <phoneticPr fontId="3" type="noConversion"/>
  </si>
  <si>
    <t>배우자 1명</t>
    <phoneticPr fontId="3" type="noConversion"/>
  </si>
  <si>
    <t>배우자 1명, 직계존속 1명</t>
    <phoneticPr fontId="3" type="noConversion"/>
  </si>
  <si>
    <t>배우자 1명, 자녀 1명(셋째)</t>
    <phoneticPr fontId="3" type="noConversion"/>
  </si>
  <si>
    <t>유치원시간제기간제교사</t>
    <phoneticPr fontId="3" type="noConversion"/>
  </si>
  <si>
    <t>교직수당</t>
    <phoneticPr fontId="89" type="noConversion"/>
  </si>
  <si>
    <t>교육연구비</t>
    <phoneticPr fontId="3" type="noConversion"/>
  </si>
  <si>
    <t>급식비</t>
    <phoneticPr fontId="3" type="noConversion"/>
  </si>
  <si>
    <t>노인장기요양보험</t>
    <phoneticPr fontId="3" type="noConversion"/>
  </si>
  <si>
    <t>지방소득세</t>
    <phoneticPr fontId="3" type="noConversion"/>
  </si>
  <si>
    <t>[별지 제17호서식]</t>
  </si>
  <si>
    <t>성 명</t>
  </si>
  <si>
    <t>생 년 월 일</t>
  </si>
  <si>
    <t>기능 및 자격</t>
  </si>
  <si>
    <t>고용연월일</t>
  </si>
  <si>
    <t>종사업무</t>
  </si>
  <si>
    <t xml:space="preserve">  </t>
  </si>
  <si>
    <t>기본시간급</t>
  </si>
  <si>
    <t>기본일급</t>
  </si>
  <si>
    <t>기본월급</t>
  </si>
  <si>
    <t>부양가족수</t>
  </si>
  <si>
    <t>1인당 지급액</t>
  </si>
  <si>
    <t>계산시간</t>
  </si>
  <si>
    <t>구분</t>
  </si>
  <si>
    <t>월별</t>
  </si>
  <si>
    <t>근로일수</t>
  </si>
  <si>
    <t>기본급</t>
  </si>
  <si>
    <t>여러 가지 수당</t>
  </si>
  <si>
    <t>현 금</t>
  </si>
  <si>
    <t>그 밖의 임금</t>
  </si>
  <si>
    <t>총액</t>
  </si>
  <si>
    <t>공제액</t>
  </si>
  <si>
    <t>영수액</t>
  </si>
  <si>
    <t>영수인</t>
  </si>
  <si>
    <t>현 물</t>
  </si>
  <si>
    <t>품명</t>
  </si>
  <si>
    <t>수량평가액</t>
  </si>
  <si>
    <t>420mm×297mm[일반용지 60g/㎡(재활용품)]</t>
  </si>
  <si>
    <t>근로시간수</t>
    <phoneticPr fontId="3" type="noConversion"/>
  </si>
  <si>
    <t>가족수당</t>
    <phoneticPr fontId="3" type="noConversion"/>
  </si>
  <si>
    <t>합계</t>
    <phoneticPr fontId="3" type="noConversion"/>
  </si>
  <si>
    <t>2021년 임금대장</t>
    <phoneticPr fontId="3" type="noConversion"/>
  </si>
  <si>
    <t>가족수당 계산 기초사항</t>
    <phoneticPr fontId="3" type="noConversion"/>
  </si>
  <si>
    <t>임금계산 기초사항</t>
    <phoneticPr fontId="3" type="noConversion"/>
  </si>
  <si>
    <t>※ 경력산정기준일(학교: 3. 1.  /   9. 1)</t>
    <phoneticPr fontId="3" type="noConversion"/>
  </si>
  <si>
    <t>예시) 법내 연장근로시간×통상시급×1배</t>
    <phoneticPr fontId="3" type="noConversion"/>
  </si>
  <si>
    <t>법내 연장근로시간×통상시급×1배</t>
    <phoneticPr fontId="89" type="noConversion"/>
  </si>
  <si>
    <t>입력시트에서 매월 정확한 급여일자를 입력(주말, 공휴일인지 확인)</t>
    <phoneticPr fontId="3" type="noConversion"/>
  </si>
  <si>
    <t>관리번호 :                      .</t>
    <phoneticPr fontId="3" type="noConversion"/>
  </si>
  <si>
    <t>본인부담금--&gt;</t>
    <phoneticPr fontId="3" type="noConversion"/>
  </si>
  <si>
    <t>학교부담금--&gt;</t>
    <phoneticPr fontId="3" type="noConversion"/>
  </si>
  <si>
    <t>위험근무수당</t>
    <phoneticPr fontId="3" type="noConversion"/>
  </si>
  <si>
    <t>급식비</t>
    <phoneticPr fontId="3" type="noConversion"/>
  </si>
  <si>
    <t>지방소득세</t>
    <phoneticPr fontId="3" type="noConversion"/>
  </si>
  <si>
    <t>노인장기요양보험</t>
    <phoneticPr fontId="3" type="noConversion"/>
  </si>
  <si>
    <t>건강보험정산</t>
    <phoneticPr fontId="3" type="noConversion"/>
  </si>
  <si>
    <t>고용보험실업급여</t>
    <phoneticPr fontId="3" type="noConversion"/>
  </si>
  <si>
    <t>노인장기요양보험정산</t>
    <phoneticPr fontId="3" type="noConversion"/>
  </si>
  <si>
    <t>고용보험정산</t>
    <phoneticPr fontId="3" type="noConversion"/>
  </si>
  <si>
    <t>21.02.28</t>
    <phoneticPr fontId="3" type="noConversion"/>
  </si>
  <si>
    <t>위험근무일수</t>
    <phoneticPr fontId="3" type="noConversion"/>
  </si>
  <si>
    <t>위험근무수당</t>
    <phoneticPr fontId="3" type="noConversion"/>
  </si>
  <si>
    <t>노인장기요양보험</t>
    <phoneticPr fontId="3" type="noConversion"/>
  </si>
  <si>
    <t>건강보험정산</t>
    <phoneticPr fontId="3" type="noConversion"/>
  </si>
  <si>
    <t>노인장기요양보험정산</t>
    <phoneticPr fontId="3" type="noConversion"/>
  </si>
  <si>
    <t>고용보험정산</t>
    <phoneticPr fontId="3" type="noConversion"/>
  </si>
  <si>
    <t>기본급-공제계</t>
    <phoneticPr fontId="3" type="noConversion"/>
  </si>
  <si>
    <t>지  급  액   계</t>
    <phoneticPr fontId="89" type="noConversion"/>
  </si>
  <si>
    <t>행정실1</t>
    <phoneticPr fontId="3" type="noConversion"/>
  </si>
  <si>
    <t>행정실2</t>
  </si>
  <si>
    <t>행정실2</t>
    <phoneticPr fontId="3" type="noConversion"/>
  </si>
  <si>
    <t>행정실3</t>
  </si>
  <si>
    <t>행정실4</t>
  </si>
  <si>
    <t>행정실5</t>
  </si>
  <si>
    <t>행정실6</t>
  </si>
  <si>
    <t>행정실7</t>
  </si>
  <si>
    <t>행정실8</t>
  </si>
  <si>
    <t>행정실9</t>
  </si>
  <si>
    <t>행정실10</t>
  </si>
  <si>
    <t>행정실11</t>
  </si>
  <si>
    <t>행정실12</t>
  </si>
  <si>
    <t>행정실13</t>
  </si>
  <si>
    <t>440301-2250000</t>
    <phoneticPr fontId="3" type="noConversion"/>
  </si>
  <si>
    <t>950327-2140000</t>
    <phoneticPr fontId="3" type="noConversion"/>
  </si>
  <si>
    <t>920823-2730000</t>
    <phoneticPr fontId="3" type="noConversion"/>
  </si>
  <si>
    <t>630401-2810000</t>
    <phoneticPr fontId="3" type="noConversion"/>
  </si>
  <si>
    <t>630215-1810000</t>
    <phoneticPr fontId="3" type="noConversion"/>
  </si>
  <si>
    <t>621025-2820000</t>
    <phoneticPr fontId="3" type="noConversion"/>
  </si>
  <si>
    <t>680412-2830000</t>
    <phoneticPr fontId="3" type="noConversion"/>
  </si>
  <si>
    <t>740129-2810000</t>
    <phoneticPr fontId="3" type="noConversion"/>
  </si>
  <si>
    <t>710120-2800000</t>
    <phoneticPr fontId="3" type="noConversion"/>
  </si>
  <si>
    <t>780410-2810000</t>
    <phoneticPr fontId="3" type="noConversion"/>
  </si>
  <si>
    <t>960505-6180000</t>
    <phoneticPr fontId="3" type="noConversion"/>
  </si>
  <si>
    <t>520624-2820000</t>
    <phoneticPr fontId="3" type="noConversion"/>
  </si>
  <si>
    <t>영주시 구성로 257</t>
    <phoneticPr fontId="3" type="noConversion"/>
  </si>
  <si>
    <t>영주시 구성로 260</t>
    <phoneticPr fontId="3" type="noConversion"/>
  </si>
  <si>
    <t>영주시 구성로 270</t>
    <phoneticPr fontId="3" type="noConversion"/>
  </si>
  <si>
    <t>영주시 구성로 280</t>
  </si>
  <si>
    <t>영주시 구성로 290</t>
  </si>
  <si>
    <t>영주시 구성로 300</t>
  </si>
  <si>
    <t>영주시 구성로 310</t>
  </si>
  <si>
    <t>영주시 구성로 320</t>
  </si>
  <si>
    <t>영주시 구성로 330</t>
  </si>
  <si>
    <t>영주시 구성로 340</t>
  </si>
  <si>
    <t>영주시 구성로 350</t>
  </si>
  <si>
    <t>영주시 구성로 360</t>
  </si>
  <si>
    <t>176743-56-000001</t>
    <phoneticPr fontId="3" type="noConversion"/>
  </si>
  <si>
    <t>653602-01-000002</t>
    <phoneticPr fontId="3" type="noConversion"/>
  </si>
  <si>
    <t>792-12-000003</t>
    <phoneticPr fontId="3" type="noConversion"/>
  </si>
  <si>
    <t>751117-56-000004</t>
    <phoneticPr fontId="3" type="noConversion"/>
  </si>
  <si>
    <t>351-0673-0000-00</t>
    <phoneticPr fontId="3" type="noConversion"/>
  </si>
  <si>
    <t>751016-51-000006</t>
    <phoneticPr fontId="3" type="noConversion"/>
  </si>
  <si>
    <t>789-02-000007</t>
    <phoneticPr fontId="3" type="noConversion"/>
  </si>
  <si>
    <t>787-12-100008</t>
    <phoneticPr fontId="3" type="noConversion"/>
  </si>
  <si>
    <t>751016-51-000009</t>
    <phoneticPr fontId="3" type="noConversion"/>
  </si>
  <si>
    <t>753061-52-000010</t>
    <phoneticPr fontId="3" type="noConversion"/>
  </si>
  <si>
    <t>352-1869-0002-00</t>
    <phoneticPr fontId="3" type="noConversion"/>
  </si>
  <si>
    <t>751016-51-000011</t>
    <phoneticPr fontId="3" type="noConversion"/>
  </si>
  <si>
    <t>순회근무(목금-ㅇㅇ초)</t>
    <phoneticPr fontId="3" type="noConversion"/>
  </si>
  <si>
    <t>입력시트에 있는 내용을 값변환 하여 붙혀놓기 할 것</t>
    <phoneticPr fontId="3" type="noConversion"/>
  </si>
  <si>
    <t>행정실1</t>
    <phoneticPr fontId="3" type="noConversion"/>
  </si>
  <si>
    <t>행정실14</t>
  </si>
  <si>
    <t>행정실15</t>
  </si>
  <si>
    <t>행정실16</t>
  </si>
  <si>
    <t>행정실17</t>
  </si>
  <si>
    <t>행정실18</t>
  </si>
  <si>
    <t>행정실1</t>
    <phoneticPr fontId="3" type="noConversion"/>
  </si>
  <si>
    <t>행정실2</t>
    <phoneticPr fontId="3" type="noConversion"/>
  </si>
  <si>
    <t>행정실1</t>
    <phoneticPr fontId="3" type="noConversion"/>
  </si>
  <si>
    <t>행정실2</t>
    <phoneticPr fontId="3" type="noConversion"/>
  </si>
  <si>
    <t>행정실1</t>
    <phoneticPr fontId="3" type="noConversion"/>
  </si>
  <si>
    <t>행정실3</t>
    <phoneticPr fontId="3" type="noConversion"/>
  </si>
  <si>
    <t>행정실4</t>
    <phoneticPr fontId="3" type="noConversion"/>
  </si>
  <si>
    <t>학년도 교육공무직원 임금 기초자료</t>
    <phoneticPr fontId="3" type="noConversion"/>
  </si>
  <si>
    <t>이전에는 243시간이었음</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</si>
</sst>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2" formatCode="_-&quot;₩&quot;* #,##0_-;\-&quot;₩&quot;* #,##0_-;_-&quot;₩&quot;* &quot;-&quot;_-;_-@_-"/>
    <numFmt numFmtId="41" formatCode="_-* #,##0_-;\-* #,##0_-;_-* &quot;-&quot;_-;_-@_-"/>
    <numFmt numFmtId="176" formatCode="yyyy/m/d"/>
    <numFmt numFmtId="177" formatCode="yyyy\.mm\.dd"/>
    <numFmt numFmtId="178" formatCode="d"/>
    <numFmt numFmtId="179" formatCode="##&quot;월&quot;"/>
    <numFmt numFmtId="180" formatCode="#,##0_ "/>
    <numFmt numFmtId="181" formatCode="_-* #,##0.000_-;\-* #,##0.000_-;_-* &quot;-&quot;_-;_-@_-"/>
    <numFmt numFmtId="182" formatCode="0.0%"/>
    <numFmt numFmtId="183" formatCode="0.000%"/>
    <numFmt numFmtId="184" formatCode="#&quot;년&quot;\ "/>
    <numFmt numFmtId="185" formatCode="##&quot;일&quot;"/>
    <numFmt numFmtId="186" formatCode="##&quot;년&quot;\ "/>
    <numFmt numFmtId="187" formatCode="yy\.mm\.dd"/>
    <numFmt numFmtId="188" formatCode="#,##0_ ;[Red]\-#,##0\ "/>
    <numFmt numFmtId="189" formatCode="##&quot;년 이상&quot;\ "/>
    <numFmt numFmtId="190" formatCode="yyyy&quot;년&quot;\ m&quot;월&quot;"/>
    <numFmt numFmtId="194" formatCode="_-* #,##0.00_-;\-* #,##0.00_-;_-* &quot;-&quot;_-;_-@_-"/>
    <numFmt numFmtId="196" formatCode="#,##0_ ;[Red]\-#,##0"/>
    <numFmt numFmtId="197" formatCode="yyyy\.mm\.dd\."/>
    <numFmt numFmtId="198" formatCode="0&quot;년 이상&quot;"/>
    <numFmt numFmtId="199" formatCode="yyyy\.mm\.dd\.\(aaa\)"/>
    <numFmt numFmtId="200" formatCode="#,##0.000;[Red]\-#,##0.000"/>
  </numFmts>
  <fonts count="96">
    <font>
      <sz val="11"/>
      <name val="돋움"/>
      <family val="3"/>
      <charset val="129"/>
    </font>
    <font>
      <sz val="11"/>
      <name val="돋움"/>
      <family val="3"/>
      <charset val="129"/>
    </font>
    <font>
      <b/>
      <sz val="20"/>
      <color rgb="FF0033CC"/>
      <name val="굴림"/>
      <family val="3"/>
      <charset val="129"/>
    </font>
    <font>
      <sz val="8"/>
      <name val="돋움"/>
      <family val="3"/>
      <charset val="129"/>
    </font>
    <font>
      <b/>
      <sz val="20"/>
      <color indexed="12"/>
      <name val="굴림"/>
      <family val="3"/>
      <charset val="129"/>
    </font>
    <font>
      <sz val="10"/>
      <name val="굴림"/>
      <family val="3"/>
      <charset val="129"/>
    </font>
    <font>
      <sz val="10"/>
      <color rgb="FFFF0000"/>
      <name val="굴림"/>
      <family val="3"/>
      <charset val="129"/>
    </font>
    <font>
      <b/>
      <sz val="13"/>
      <color rgb="FFFF0000"/>
      <name val="휴먼모음T"/>
      <family val="1"/>
      <charset val="129"/>
    </font>
    <font>
      <b/>
      <sz val="12"/>
      <color rgb="FF0000FF"/>
      <name val="굴림"/>
      <family val="3"/>
      <charset val="129"/>
    </font>
    <font>
      <b/>
      <sz val="10"/>
      <color rgb="FF0000FF"/>
      <name val="굴림"/>
      <family val="3"/>
      <charset val="129"/>
    </font>
    <font>
      <b/>
      <sz val="14"/>
      <color rgb="FF0000FF"/>
      <name val="굴림"/>
      <family val="3"/>
      <charset val="129"/>
    </font>
    <font>
      <b/>
      <sz val="10"/>
      <name val="굴림"/>
      <family val="3"/>
      <charset val="129"/>
    </font>
    <font>
      <b/>
      <sz val="14"/>
      <name val="굴림"/>
      <family val="3"/>
      <charset val="129"/>
    </font>
    <font>
      <b/>
      <sz val="12"/>
      <color rgb="FF0033CC"/>
      <name val="굴림"/>
      <family val="3"/>
      <charset val="129"/>
    </font>
    <font>
      <sz val="10"/>
      <color indexed="8"/>
      <name val="굴림"/>
      <family val="3"/>
      <charset val="129"/>
    </font>
    <font>
      <b/>
      <sz val="11"/>
      <color rgb="FF0033CC"/>
      <name val="굴림"/>
      <family val="3"/>
      <charset val="129"/>
    </font>
    <font>
      <sz val="10"/>
      <color indexed="12"/>
      <name val="굴림"/>
      <family val="3"/>
      <charset val="129"/>
    </font>
    <font>
      <sz val="9"/>
      <name val="굴림"/>
      <family val="3"/>
      <charset val="129"/>
    </font>
    <font>
      <sz val="12"/>
      <name val="굴림"/>
      <family val="3"/>
      <charset val="129"/>
    </font>
    <font>
      <sz val="10"/>
      <color rgb="FF0000FF"/>
      <name val="굴림"/>
      <family val="3"/>
      <charset val="129"/>
    </font>
    <font>
      <sz val="10"/>
      <color theme="1"/>
      <name val="굴림"/>
      <family val="3"/>
      <charset val="129"/>
    </font>
    <font>
      <sz val="10"/>
      <color theme="9" tint="-0.249977111117893"/>
      <name val="굴림"/>
      <family val="3"/>
      <charset val="129"/>
    </font>
    <font>
      <sz val="8"/>
      <name val="굴림"/>
      <family val="3"/>
      <charset val="129"/>
    </font>
    <font>
      <b/>
      <sz val="8"/>
      <color indexed="12"/>
      <name val="굴림"/>
      <family val="3"/>
      <charset val="129"/>
    </font>
    <font>
      <b/>
      <sz val="10"/>
      <color rgb="FF000000"/>
      <name val="굴림"/>
      <family val="3"/>
      <charset val="129"/>
    </font>
    <font>
      <b/>
      <sz val="8"/>
      <color rgb="FF000000"/>
      <name val="굴림"/>
      <family val="3"/>
      <charset val="129"/>
    </font>
    <font>
      <sz val="10"/>
      <color rgb="FF000000"/>
      <name val="굴림"/>
      <family val="3"/>
      <charset val="129"/>
    </font>
    <font>
      <b/>
      <sz val="10"/>
      <color rgb="FFFF0000"/>
      <name val="굴림"/>
      <family val="3"/>
      <charset val="129"/>
    </font>
    <font>
      <sz val="8"/>
      <name val="굴림체"/>
      <family val="3"/>
      <charset val="129"/>
    </font>
    <font>
      <sz val="11"/>
      <name val="굴림"/>
      <family val="3"/>
      <charset val="129"/>
    </font>
    <font>
      <b/>
      <sz val="11"/>
      <color rgb="FFFF0000"/>
      <name val="굴림"/>
      <family val="3"/>
      <charset val="129"/>
    </font>
    <font>
      <b/>
      <sz val="9"/>
      <color indexed="39"/>
      <name val="돋움"/>
      <family val="3"/>
      <charset val="129"/>
    </font>
    <font>
      <sz val="9"/>
      <color indexed="81"/>
      <name val="돋움"/>
      <family val="3"/>
      <charset val="129"/>
    </font>
    <font>
      <sz val="10"/>
      <color indexed="81"/>
      <name val="굴림"/>
      <family val="3"/>
      <charset val="129"/>
    </font>
    <font>
      <sz val="9"/>
      <color indexed="81"/>
      <name val="Tahoma"/>
      <family val="2"/>
    </font>
    <font>
      <b/>
      <sz val="9"/>
      <color indexed="81"/>
      <name val="돋움"/>
      <family val="3"/>
      <charset val="129"/>
    </font>
    <font>
      <b/>
      <sz val="9"/>
      <color indexed="81"/>
      <name val="Tahoma"/>
      <family val="2"/>
    </font>
    <font>
      <b/>
      <sz val="9"/>
      <color indexed="39"/>
      <name val="맑은 고딕"/>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2"/>
      <name val="굴림체"/>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name val="바탕체"/>
      <family val="1"/>
      <charset val="129"/>
    </font>
    <font>
      <sz val="11"/>
      <color theme="1"/>
      <name val="맑은 고딕"/>
      <family val="3"/>
      <charset val="129"/>
      <scheme val="minor"/>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b/>
      <sz val="18"/>
      <color indexed="56"/>
      <name val="맑은 고딕"/>
      <family val="3"/>
      <charset val="129"/>
    </font>
    <font>
      <sz val="11"/>
      <color indexed="17"/>
      <name val="맑은 고딕"/>
      <family val="3"/>
      <charset val="129"/>
    </font>
    <font>
      <b/>
      <sz val="11"/>
      <color indexed="63"/>
      <name val="맑은 고딕"/>
      <family val="3"/>
      <charset val="129"/>
    </font>
    <font>
      <sz val="12"/>
      <color theme="1"/>
      <name val="굴림"/>
      <family val="3"/>
      <charset val="129"/>
    </font>
    <font>
      <sz val="11"/>
      <name val="돋움"/>
      <family val="3"/>
    </font>
    <font>
      <sz val="12"/>
      <color theme="1"/>
      <name val="굴림체"/>
      <family val="3"/>
      <charset val="129"/>
    </font>
    <font>
      <sz val="10"/>
      <name val="Arial"/>
      <family val="2"/>
    </font>
    <font>
      <sz val="20"/>
      <name val="굴림"/>
      <family val="3"/>
      <charset val="129"/>
    </font>
    <font>
      <sz val="14"/>
      <name val="굴림"/>
      <family val="3"/>
      <charset val="129"/>
    </font>
    <font>
      <sz val="11"/>
      <color theme="1"/>
      <name val="굴림"/>
      <family val="3"/>
      <charset val="129"/>
    </font>
    <font>
      <b/>
      <sz val="14"/>
      <color theme="1"/>
      <name val="굴림"/>
      <family val="3"/>
      <charset val="129"/>
    </font>
    <font>
      <b/>
      <sz val="11"/>
      <color theme="1"/>
      <name val="굴림"/>
      <family val="3"/>
      <charset val="129"/>
    </font>
    <font>
      <sz val="9"/>
      <color theme="1"/>
      <name val="굴림"/>
      <family val="3"/>
      <charset val="129"/>
    </font>
    <font>
      <sz val="16"/>
      <color theme="1"/>
      <name val="굴림"/>
      <family val="3"/>
      <charset val="129"/>
    </font>
    <font>
      <sz val="14"/>
      <color theme="1"/>
      <name val="굴림"/>
      <family val="3"/>
      <charset val="129"/>
    </font>
    <font>
      <b/>
      <sz val="12"/>
      <color theme="1"/>
      <name val="굴림"/>
      <family val="3"/>
      <charset val="129"/>
    </font>
    <font>
      <sz val="11"/>
      <color theme="0" tint="-0.34998626667073579"/>
      <name val="굴림"/>
      <family val="3"/>
      <charset val="129"/>
    </font>
    <font>
      <sz val="12"/>
      <color rgb="FFFF0000"/>
      <name val="굴림"/>
      <family val="3"/>
      <charset val="129"/>
    </font>
    <font>
      <b/>
      <sz val="11"/>
      <color rgb="FF0000FF"/>
      <name val="굴림"/>
      <family val="3"/>
      <charset val="129"/>
    </font>
    <font>
      <sz val="11"/>
      <color rgb="FFFF0000"/>
      <name val="굴림"/>
      <family val="3"/>
      <charset val="129"/>
    </font>
    <font>
      <b/>
      <sz val="24"/>
      <color indexed="12"/>
      <name val="굴림"/>
      <family val="3"/>
      <charset val="129"/>
    </font>
    <font>
      <b/>
      <sz val="12"/>
      <name val="굴림"/>
      <family val="3"/>
      <charset val="129"/>
    </font>
    <font>
      <b/>
      <sz val="18"/>
      <color indexed="8"/>
      <name val="굴림"/>
      <family val="3"/>
      <charset val="129"/>
    </font>
    <font>
      <sz val="10"/>
      <color theme="5" tint="-0.249977111117893"/>
      <name val="굴림"/>
      <family val="3"/>
      <charset val="129"/>
    </font>
    <font>
      <b/>
      <sz val="11"/>
      <name val="굴림"/>
      <family val="3"/>
      <charset val="129"/>
    </font>
    <font>
      <sz val="10"/>
      <color indexed="81"/>
      <name val="Tahoma"/>
      <family val="2"/>
    </font>
    <font>
      <b/>
      <sz val="26"/>
      <name val="굴림"/>
      <family val="3"/>
      <charset val="129"/>
    </font>
    <font>
      <b/>
      <sz val="12"/>
      <color indexed="8"/>
      <name val="굴림"/>
      <family val="3"/>
      <charset val="129"/>
    </font>
    <font>
      <b/>
      <sz val="16"/>
      <name val="굴림"/>
      <family val="3"/>
      <charset val="129"/>
    </font>
    <font>
      <b/>
      <sz val="10"/>
      <color indexed="81"/>
      <name val="돋움"/>
      <family val="3"/>
      <charset val="129"/>
    </font>
    <font>
      <b/>
      <sz val="10"/>
      <color indexed="81"/>
      <name val="Tahoma"/>
      <family val="2"/>
    </font>
    <font>
      <sz val="10"/>
      <color indexed="10"/>
      <name val="굴림체"/>
      <family val="3"/>
      <charset val="129"/>
    </font>
    <font>
      <b/>
      <sz val="11"/>
      <color indexed="10"/>
      <name val="굴림체"/>
      <family val="3"/>
      <charset val="129"/>
    </font>
    <font>
      <b/>
      <sz val="9"/>
      <color indexed="10"/>
      <name val="맑은 고딕"/>
      <family val="3"/>
      <charset val="129"/>
    </font>
    <font>
      <sz val="8"/>
      <name val="맑은 고딕"/>
      <family val="2"/>
      <charset val="129"/>
      <scheme val="minor"/>
    </font>
    <font>
      <b/>
      <sz val="11"/>
      <color indexed="81"/>
      <name val="맑은 고딕"/>
      <family val="3"/>
      <charset val="129"/>
      <scheme val="minor"/>
    </font>
    <font>
      <b/>
      <sz val="24"/>
      <color theme="1"/>
      <name val="굴림"/>
      <family val="3"/>
      <charset val="129"/>
    </font>
    <font>
      <sz val="12"/>
      <color theme="0" tint="-0.34998626667073579"/>
      <name val="굴림"/>
      <family val="3"/>
      <charset val="129"/>
    </font>
    <font>
      <b/>
      <sz val="26"/>
      <color rgb="FF000000"/>
      <name val="굴림"/>
      <family val="3"/>
      <charset val="129"/>
    </font>
    <font>
      <u/>
      <sz val="10"/>
      <color rgb="FF000000"/>
      <name val="굴림"/>
      <family val="3"/>
      <charset val="129"/>
    </font>
    <font>
      <sz val="14"/>
      <color rgb="FF0000FF"/>
      <name val="굴림"/>
      <family val="3"/>
      <charset val="129"/>
    </font>
  </fonts>
  <fills count="5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indexed="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indexed="27"/>
        <bgColor indexed="64"/>
      </patternFill>
    </fill>
    <fill>
      <patternFill patternType="solid">
        <fgColor indexed="43"/>
        <bgColor indexed="64"/>
      </patternFill>
    </fill>
    <fill>
      <patternFill patternType="solid">
        <fgColor theme="6" tint="0.79998168889431442"/>
        <bgColor indexed="64"/>
      </patternFill>
    </fill>
    <fill>
      <patternFill patternType="solid">
        <fgColor indexed="5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CCFFCC"/>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theme="0"/>
        <bgColor indexed="64"/>
      </patternFill>
    </fill>
    <fill>
      <patternFill patternType="solid">
        <fgColor rgb="FFCCECFF"/>
        <bgColor indexed="64"/>
      </patternFill>
    </fill>
    <fill>
      <patternFill patternType="solid">
        <fgColor rgb="FF92D050"/>
        <bgColor indexed="64"/>
      </patternFill>
    </fill>
    <fill>
      <patternFill patternType="solid">
        <fgColor rgb="FFD8E4BC"/>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8"/>
      </top>
      <bottom/>
      <diagonal/>
    </border>
    <border>
      <left style="hair">
        <color indexed="8"/>
      </left>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diagonalUp="1" diagonalDown="1">
      <left/>
      <right/>
      <top style="thin">
        <color indexed="64"/>
      </top>
      <bottom/>
      <diagonal style="thin">
        <color indexed="64"/>
      </diagonal>
    </border>
    <border diagonalUp="1" diagonalDown="1">
      <left style="thick">
        <color indexed="64"/>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bottom style="thick">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diagonal/>
    </border>
    <border>
      <left/>
      <right style="thin">
        <color rgb="FF000000"/>
      </right>
      <top style="thin">
        <color rgb="FF000000"/>
      </top>
      <bottom/>
      <diagonal/>
    </border>
    <border>
      <left style="thick">
        <color rgb="FF000000"/>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diagonal/>
    </border>
    <border>
      <left style="thin">
        <color rgb="FF000000"/>
      </left>
      <right/>
      <top/>
      <bottom style="double">
        <color rgb="FF000000"/>
      </bottom>
      <diagonal/>
    </border>
    <border>
      <left/>
      <right/>
      <top style="thin">
        <color rgb="FF000000"/>
      </top>
      <bottom/>
      <diagonal/>
    </border>
    <border>
      <left/>
      <right/>
      <top/>
      <bottom style="double">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thick">
        <color rgb="FF000000"/>
      </right>
      <top style="thin">
        <color rgb="FF000000"/>
      </top>
      <bottom style="double">
        <color rgb="FF000000"/>
      </bottom>
      <diagonal/>
    </border>
    <border>
      <left style="thick">
        <color rgb="FF000000"/>
      </left>
      <right style="thin">
        <color rgb="FF000000"/>
      </right>
      <top style="double">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ck">
        <color rgb="FF000000"/>
      </right>
      <top style="double">
        <color rgb="FF000000"/>
      </top>
      <bottom/>
      <diagonal/>
    </border>
    <border>
      <left style="thin">
        <color rgb="FF000000"/>
      </left>
      <right style="thick">
        <color rgb="FF000000"/>
      </right>
      <top/>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ck">
        <color rgb="FF000000"/>
      </top>
      <bottom/>
      <diagonal/>
    </border>
  </borders>
  <cellStyleXfs count="87">
    <xf numFmtId="0" fontId="0" fillId="0" borderId="0">
      <alignment vertical="center"/>
    </xf>
    <xf numFmtId="41" fontId="1" fillId="0" borderId="0" applyFont="0" applyFill="0" applyBorder="0" applyAlignment="0" applyProtection="0">
      <alignment vertical="center"/>
    </xf>
    <xf numFmtId="0" fontId="1" fillId="0" borderId="0"/>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8" fillId="23" borderId="0" applyNumberFormat="0" applyBorder="0" applyAlignment="0" applyProtection="0">
      <alignment vertical="center"/>
    </xf>
    <xf numFmtId="0" fontId="38" fillId="26"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9" fillId="37" borderId="0" applyNumberFormat="0" applyBorder="0" applyAlignment="0" applyProtection="0">
      <alignment vertical="center"/>
    </xf>
    <xf numFmtId="0" fontId="40" fillId="0" borderId="0" applyNumberFormat="0" applyFill="0" applyBorder="0" applyAlignment="0" applyProtection="0">
      <alignment vertical="center"/>
    </xf>
    <xf numFmtId="0" fontId="41" fillId="38" borderId="43" applyNumberFormat="0" applyAlignment="0" applyProtection="0">
      <alignment vertical="center"/>
    </xf>
    <xf numFmtId="0" fontId="42" fillId="21" borderId="0" applyNumberFormat="0" applyBorder="0" applyAlignment="0" applyProtection="0">
      <alignment vertical="center"/>
    </xf>
    <xf numFmtId="0" fontId="1" fillId="39" borderId="44" applyNumberFormat="0" applyFont="0" applyAlignment="0" applyProtection="0">
      <alignment vertical="center"/>
    </xf>
    <xf numFmtId="9" fontId="43" fillId="0" borderId="0" applyFont="0" applyFill="0" applyBorder="0" applyAlignment="0" applyProtection="0"/>
    <xf numFmtId="0" fontId="44" fillId="40" borderId="0" applyNumberFormat="0" applyBorder="0" applyAlignment="0" applyProtection="0">
      <alignment vertical="center"/>
    </xf>
    <xf numFmtId="0" fontId="45" fillId="0" borderId="0" applyNumberFormat="0" applyFill="0" applyBorder="0" applyAlignment="0" applyProtection="0">
      <alignment vertical="center"/>
    </xf>
    <xf numFmtId="0" fontId="46" fillId="41" borderId="45" applyNumberFormat="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47" fillId="0" borderId="0" applyFont="0" applyFill="0" applyBorder="0" applyAlignment="0" applyProtection="0"/>
    <xf numFmtId="41" fontId="43" fillId="0" borderId="0" applyFont="0" applyFill="0" applyBorder="0" applyAlignment="0" applyProtection="0"/>
    <xf numFmtId="41" fontId="48" fillId="0" borderId="0" applyFont="0" applyFill="0" applyBorder="0" applyAlignment="0" applyProtection="0">
      <alignment vertical="center"/>
    </xf>
    <xf numFmtId="41" fontId="1" fillId="0" borderId="0" applyFont="0" applyFill="0" applyBorder="0" applyAlignment="0" applyProtection="0"/>
    <xf numFmtId="41" fontId="47" fillId="0" borderId="0" applyFont="0" applyFill="0" applyBorder="0" applyAlignment="0" applyProtection="0"/>
    <xf numFmtId="0" fontId="49" fillId="0" borderId="46" applyNumberFormat="0" applyFill="0" applyAlignment="0" applyProtection="0">
      <alignment vertical="center"/>
    </xf>
    <xf numFmtId="0" fontId="50" fillId="0" borderId="47" applyNumberFormat="0" applyFill="0" applyAlignment="0" applyProtection="0">
      <alignment vertical="center"/>
    </xf>
    <xf numFmtId="0" fontId="51" fillId="25" borderId="43" applyNumberFormat="0" applyAlignment="0" applyProtection="0">
      <alignment vertical="center"/>
    </xf>
    <xf numFmtId="0" fontId="52" fillId="0" borderId="48" applyNumberFormat="0" applyFill="0" applyAlignment="0" applyProtection="0">
      <alignment vertical="center"/>
    </xf>
    <xf numFmtId="0" fontId="53" fillId="0" borderId="49" applyNumberFormat="0" applyFill="0" applyAlignment="0" applyProtection="0">
      <alignment vertical="center"/>
    </xf>
    <xf numFmtId="0" fontId="54" fillId="0" borderId="50"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22" borderId="0" applyNumberFormat="0" applyBorder="0" applyAlignment="0" applyProtection="0">
      <alignment vertical="center"/>
    </xf>
    <xf numFmtId="0" fontId="57" fillId="38" borderId="51" applyNumberFormat="0" applyAlignment="0" applyProtection="0">
      <alignment vertical="center"/>
    </xf>
    <xf numFmtId="42" fontId="43" fillId="0" borderId="0" applyFont="0" applyFill="0" applyBorder="0" applyAlignment="0" applyProtection="0"/>
    <xf numFmtId="42" fontId="1" fillId="0" borderId="0" applyFont="0" applyFill="0" applyBorder="0" applyAlignment="0" applyProtection="0"/>
    <xf numFmtId="0" fontId="1" fillId="0" borderId="0"/>
    <xf numFmtId="0" fontId="1" fillId="0" borderId="0"/>
    <xf numFmtId="0" fontId="58" fillId="0" borderId="0">
      <alignment vertical="center"/>
    </xf>
    <xf numFmtId="0" fontId="59" fillId="0" borderId="0"/>
    <xf numFmtId="0" fontId="47"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alignment vertical="center"/>
    </xf>
    <xf numFmtId="0" fontId="1" fillId="0" borderId="0">
      <alignment vertical="center"/>
    </xf>
    <xf numFmtId="0" fontId="1"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 fillId="0" borderId="0"/>
    <xf numFmtId="0" fontId="60" fillId="0" borderId="0">
      <alignment vertical="center"/>
    </xf>
    <xf numFmtId="0" fontId="60" fillId="0" borderId="0">
      <alignment vertical="center"/>
    </xf>
    <xf numFmtId="0" fontId="60" fillId="0" borderId="0">
      <alignment vertical="center"/>
    </xf>
    <xf numFmtId="0" fontId="6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0" borderId="0"/>
    <xf numFmtId="0" fontId="48" fillId="0" borderId="0">
      <alignment vertical="center"/>
    </xf>
    <xf numFmtId="0" fontId="1" fillId="0" borderId="0"/>
    <xf numFmtId="0" fontId="1" fillId="0" borderId="0"/>
  </cellStyleXfs>
  <cellXfs count="709">
    <xf numFmtId="0" fontId="0" fillId="0" borderId="0" xfId="0">
      <alignment vertical="center"/>
    </xf>
    <xf numFmtId="0" fontId="4" fillId="0" borderId="0" xfId="0" applyFont="1" applyAlignment="1">
      <alignment vertical="center"/>
    </xf>
    <xf numFmtId="0" fontId="5" fillId="0" borderId="0" xfId="0" applyFont="1" applyFill="1" applyAlignment="1">
      <alignment vertical="center"/>
    </xf>
    <xf numFmtId="0" fontId="5" fillId="0" borderId="0" xfId="0" applyFont="1" applyAlignment="1">
      <alignment vertical="center"/>
    </xf>
    <xf numFmtId="0" fontId="5" fillId="0" borderId="0" xfId="0" applyFont="1">
      <alignment vertical="center"/>
    </xf>
    <xf numFmtId="176" fontId="5" fillId="0" borderId="1" xfId="0" applyNumberFormat="1" applyFont="1" applyBorder="1" applyAlignment="1">
      <alignment vertical="center" shrinkToFit="1"/>
    </xf>
    <xf numFmtId="177" fontId="5" fillId="0" borderId="1" xfId="0" applyNumberFormat="1" applyFont="1" applyBorder="1" applyAlignment="1">
      <alignment horizontal="center" vertical="center" shrinkToFit="1"/>
    </xf>
    <xf numFmtId="0" fontId="6" fillId="0" borderId="0" xfId="0" applyFont="1" applyAlignment="1">
      <alignment vertical="center"/>
    </xf>
    <xf numFmtId="0" fontId="5" fillId="0" borderId="0" xfId="0" applyNumberFormat="1" applyFont="1" applyAlignment="1">
      <alignment vertical="center"/>
    </xf>
    <xf numFmtId="0" fontId="5" fillId="0" borderId="0" xfId="0" quotePrefix="1" applyNumberFormat="1" applyFont="1" applyAlignment="1">
      <alignment horizontal="center" vertical="center"/>
    </xf>
    <xf numFmtId="0" fontId="5" fillId="0" borderId="0" xfId="0" applyFont="1" applyAlignment="1">
      <alignment horizontal="right" vertical="center"/>
    </xf>
    <xf numFmtId="178" fontId="5"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vertical="center"/>
    </xf>
    <xf numFmtId="0" fontId="5" fillId="0" borderId="0" xfId="0" quotePrefix="1" applyFont="1" applyAlignment="1">
      <alignment vertical="center"/>
    </xf>
    <xf numFmtId="179" fontId="5" fillId="0" borderId="2" xfId="1" applyNumberFormat="1" applyFont="1" applyBorder="1" applyAlignment="1">
      <alignment horizontal="center" vertical="center"/>
    </xf>
    <xf numFmtId="41" fontId="5" fillId="0" borderId="0" xfId="1" applyFont="1">
      <alignment vertical="center"/>
    </xf>
    <xf numFmtId="0" fontId="8" fillId="0" borderId="0" xfId="1" applyNumberFormat="1" applyFont="1">
      <alignment vertical="center"/>
    </xf>
    <xf numFmtId="0" fontId="11" fillId="0" borderId="0" xfId="0" applyFont="1" applyAlignment="1">
      <alignment horizontal="center" vertical="center"/>
    </xf>
    <xf numFmtId="0" fontId="11" fillId="0" borderId="3" xfId="0" applyFont="1" applyFill="1" applyBorder="1" applyAlignment="1">
      <alignment horizontal="center" vertical="center" shrinkToFit="1"/>
    </xf>
    <xf numFmtId="14" fontId="12" fillId="3" borderId="4" xfId="0" applyNumberFormat="1" applyFont="1" applyFill="1" applyBorder="1" applyAlignment="1">
      <alignment horizontal="center" vertical="center" shrinkToFit="1"/>
    </xf>
    <xf numFmtId="14" fontId="12" fillId="4" borderId="4" xfId="0" applyNumberFormat="1" applyFont="1" applyFill="1" applyBorder="1" applyAlignment="1">
      <alignment horizontal="center" vertical="center" shrinkToFit="1"/>
    </xf>
    <xf numFmtId="0" fontId="5" fillId="0" borderId="0" xfId="0" applyFont="1" applyAlignment="1">
      <alignment vertical="center" shrinkToFit="1"/>
    </xf>
    <xf numFmtId="0" fontId="6" fillId="0" borderId="0" xfId="0" applyFont="1" applyBorder="1" applyAlignment="1">
      <alignment horizontal="center" vertical="center"/>
    </xf>
    <xf numFmtId="0" fontId="5" fillId="0" borderId="0" xfId="0" applyFont="1" applyBorder="1" applyAlignment="1">
      <alignment vertical="center"/>
    </xf>
    <xf numFmtId="14" fontId="5" fillId="0" borderId="8" xfId="0" applyNumberFormat="1" applyFont="1" applyBorder="1" applyAlignment="1">
      <alignment vertical="center"/>
    </xf>
    <xf numFmtId="14" fontId="5" fillId="0" borderId="0" xfId="0" applyNumberFormat="1" applyFont="1" applyBorder="1" applyAlignment="1">
      <alignment horizontal="center" vertical="center"/>
    </xf>
    <xf numFmtId="0" fontId="5" fillId="0" borderId="0" xfId="0" applyFont="1" applyAlignment="1">
      <alignment horizontal="center" vertical="center" shrinkToFit="1"/>
    </xf>
    <xf numFmtId="0" fontId="5" fillId="0" borderId="0" xfId="0" applyNumberFormat="1" applyFont="1" applyAlignment="1">
      <alignment horizontal="right" vertical="center"/>
    </xf>
    <xf numFmtId="180" fontId="5" fillId="0" borderId="0" xfId="0" applyNumberFormat="1" applyFont="1" applyBorder="1" applyAlignment="1">
      <alignment horizontal="center" vertical="center"/>
    </xf>
    <xf numFmtId="0" fontId="13" fillId="0" borderId="0" xfId="1" applyNumberFormat="1" applyFont="1">
      <alignment vertical="center"/>
    </xf>
    <xf numFmtId="179" fontId="5" fillId="0" borderId="0" xfId="1" applyNumberFormat="1" applyFont="1" applyAlignment="1">
      <alignment horizontal="center" vertical="center"/>
    </xf>
    <xf numFmtId="38" fontId="5" fillId="0" borderId="0" xfId="1" applyNumberFormat="1" applyFont="1" applyAlignment="1">
      <alignment vertical="center" shrinkToFit="1"/>
    </xf>
    <xf numFmtId="38" fontId="5" fillId="0" borderId="0" xfId="0" applyNumberFormat="1" applyFont="1" applyBorder="1" applyAlignment="1">
      <alignment vertical="center" shrinkToFit="1"/>
    </xf>
    <xf numFmtId="38" fontId="5" fillId="0" borderId="0" xfId="0" quotePrefix="1" applyNumberFormat="1" applyFont="1" applyAlignment="1">
      <alignment vertical="center" shrinkToFit="1"/>
    </xf>
    <xf numFmtId="179" fontId="5" fillId="0" borderId="9" xfId="1" applyNumberFormat="1" applyFont="1" applyBorder="1" applyAlignment="1">
      <alignment horizontal="center" vertical="center"/>
    </xf>
    <xf numFmtId="41" fontId="5" fillId="0" borderId="0" xfId="1" applyFont="1" applyAlignment="1">
      <alignment horizontal="center" vertical="center" wrapText="1"/>
    </xf>
    <xf numFmtId="41" fontId="5" fillId="0" borderId="0" xfId="1" applyFont="1" applyAlignment="1">
      <alignment horizontal="center" vertical="center"/>
    </xf>
    <xf numFmtId="181" fontId="5" fillId="0" borderId="0" xfId="1" applyNumberFormat="1" applyFont="1">
      <alignment vertical="center"/>
    </xf>
    <xf numFmtId="182" fontId="5" fillId="2" borderId="8" xfId="2" applyNumberFormat="1" applyFont="1" applyFill="1" applyBorder="1" applyAlignment="1">
      <alignment horizontal="center" vertical="center" wrapText="1"/>
    </xf>
    <xf numFmtId="183" fontId="5" fillId="2" borderId="8" xfId="2" applyNumberFormat="1" applyFont="1" applyFill="1" applyBorder="1" applyAlignment="1">
      <alignment horizontal="center" vertical="center" wrapText="1"/>
    </xf>
    <xf numFmtId="0" fontId="5" fillId="2" borderId="0" xfId="0" applyFont="1" applyFill="1">
      <alignment vertical="center"/>
    </xf>
    <xf numFmtId="10" fontId="14" fillId="2" borderId="8" xfId="2" applyNumberFormat="1" applyFont="1" applyFill="1" applyBorder="1" applyAlignment="1">
      <alignment horizontal="center" vertical="center" wrapText="1"/>
    </xf>
    <xf numFmtId="0" fontId="15" fillId="0" borderId="0" xfId="0" applyFont="1">
      <alignment vertical="center"/>
    </xf>
    <xf numFmtId="0" fontId="5" fillId="5" borderId="10" xfId="0" applyNumberFormat="1" applyFont="1" applyFill="1" applyBorder="1" applyAlignment="1">
      <alignment horizontal="center" vertical="center"/>
    </xf>
    <xf numFmtId="0" fontId="5" fillId="5" borderId="11" xfId="0" applyNumberFormat="1" applyFont="1" applyFill="1" applyBorder="1" applyAlignment="1">
      <alignment horizontal="center" vertical="center" shrinkToFit="1"/>
    </xf>
    <xf numFmtId="0" fontId="5" fillId="5" borderId="11" xfId="1" applyNumberFormat="1" applyFont="1" applyFill="1" applyBorder="1" applyAlignment="1">
      <alignment horizontal="center" vertical="center" shrinkToFit="1"/>
    </xf>
    <xf numFmtId="0" fontId="5" fillId="5" borderId="11" xfId="0" applyNumberFormat="1" applyFont="1" applyFill="1" applyBorder="1" applyAlignment="1">
      <alignment horizontal="center" vertical="center" wrapText="1" shrinkToFit="1"/>
    </xf>
    <xf numFmtId="0" fontId="5" fillId="5" borderId="12" xfId="0" applyNumberFormat="1" applyFont="1" applyFill="1" applyBorder="1" applyAlignment="1">
      <alignment horizontal="center" vertical="center" shrinkToFit="1"/>
    </xf>
    <xf numFmtId="0" fontId="5" fillId="6" borderId="13" xfId="0" applyNumberFormat="1" applyFont="1" applyFill="1" applyBorder="1" applyAlignment="1">
      <alignment horizontal="center" vertical="center" wrapText="1" shrinkToFit="1"/>
    </xf>
    <xf numFmtId="0" fontId="12" fillId="5" borderId="11" xfId="1" applyNumberFormat="1" applyFont="1" applyFill="1" applyBorder="1" applyAlignment="1">
      <alignment horizontal="center" vertical="center" shrinkToFit="1"/>
    </xf>
    <xf numFmtId="0" fontId="17" fillId="5" borderId="11" xfId="0" applyNumberFormat="1" applyFont="1" applyFill="1" applyBorder="1" applyAlignment="1">
      <alignment horizontal="center" vertical="center" wrapText="1" shrinkToFit="1"/>
    </xf>
    <xf numFmtId="0" fontId="10" fillId="7" borderId="11" xfId="0" applyNumberFormat="1" applyFont="1" applyFill="1" applyBorder="1" applyAlignment="1">
      <alignment horizontal="center" vertical="center" wrapText="1" shrinkToFit="1"/>
    </xf>
    <xf numFmtId="0" fontId="9" fillId="7" borderId="11" xfId="0" applyNumberFormat="1" applyFont="1" applyFill="1" applyBorder="1" applyAlignment="1">
      <alignment horizontal="center" vertical="center" wrapText="1" shrinkToFit="1"/>
    </xf>
    <xf numFmtId="0" fontId="5" fillId="5" borderId="16" xfId="0" applyNumberFormat="1" applyFont="1" applyFill="1" applyBorder="1" applyAlignment="1">
      <alignment horizontal="center" vertical="center" wrapText="1" shrinkToFit="1"/>
    </xf>
    <xf numFmtId="0" fontId="5" fillId="5" borderId="19" xfId="0" applyNumberFormat="1" applyFont="1" applyFill="1" applyBorder="1" applyAlignment="1">
      <alignment horizontal="center" vertical="center" wrapText="1" shrinkToFit="1"/>
    </xf>
    <xf numFmtId="0" fontId="5" fillId="8" borderId="18" xfId="0" applyNumberFormat="1" applyFont="1" applyFill="1" applyBorder="1" applyAlignment="1">
      <alignment horizontal="center" vertical="center" wrapText="1" shrinkToFit="1"/>
    </xf>
    <xf numFmtId="0" fontId="5" fillId="8" borderId="11" xfId="0" applyNumberFormat="1" applyFont="1" applyFill="1" applyBorder="1" applyAlignment="1">
      <alignment horizontal="center" vertical="center" wrapText="1" shrinkToFit="1"/>
    </xf>
    <xf numFmtId="0" fontId="5" fillId="5" borderId="18" xfId="0" applyNumberFormat="1" applyFont="1" applyFill="1" applyBorder="1" applyAlignment="1">
      <alignment horizontal="center" vertical="center" wrapText="1" shrinkToFit="1"/>
    </xf>
    <xf numFmtId="0" fontId="5" fillId="2" borderId="11" xfId="1" applyNumberFormat="1" applyFont="1" applyFill="1" applyBorder="1" applyAlignment="1">
      <alignment horizontal="center" vertical="center" wrapText="1" shrinkToFit="1"/>
    </xf>
    <xf numFmtId="0" fontId="5" fillId="2" borderId="11" xfId="0" applyNumberFormat="1" applyFont="1" applyFill="1" applyBorder="1" applyAlignment="1">
      <alignment horizontal="center" vertical="center" wrapText="1" shrinkToFit="1"/>
    </xf>
    <xf numFmtId="0" fontId="5" fillId="5" borderId="20" xfId="0" applyNumberFormat="1" applyFont="1" applyFill="1" applyBorder="1" applyAlignment="1">
      <alignment horizontal="center" vertical="center" wrapText="1"/>
    </xf>
    <xf numFmtId="0" fontId="5" fillId="0" borderId="0" xfId="0" applyNumberFormat="1" applyFont="1" applyAlignment="1">
      <alignment horizontal="center" vertical="center"/>
    </xf>
    <xf numFmtId="0" fontId="5" fillId="2" borderId="11" xfId="1" applyNumberFormat="1" applyFont="1" applyFill="1" applyBorder="1" applyAlignment="1">
      <alignment horizontal="center" vertical="center" shrinkToFit="1"/>
    </xf>
    <xf numFmtId="0" fontId="5" fillId="2" borderId="21" xfId="1" applyNumberFormat="1" applyFont="1" applyFill="1" applyBorder="1" applyAlignment="1">
      <alignment horizontal="center" vertical="center" wrapText="1" shrinkToFit="1"/>
    </xf>
    <xf numFmtId="0" fontId="5" fillId="0" borderId="0" xfId="0" applyFont="1" applyAlignment="1">
      <alignment horizontal="center" vertical="center" wrapText="1"/>
    </xf>
    <xf numFmtId="0" fontId="5" fillId="9" borderId="0" xfId="0" applyFont="1" applyFill="1" applyAlignment="1">
      <alignment horizontal="center" vertical="center" wrapText="1"/>
    </xf>
    <xf numFmtId="41" fontId="5" fillId="0" borderId="0" xfId="0" applyNumberFormat="1" applyFont="1" applyFill="1">
      <alignment vertical="center"/>
    </xf>
    <xf numFmtId="0" fontId="5" fillId="0" borderId="22" xfId="0" applyFont="1" applyFill="1" applyBorder="1">
      <alignment vertical="center"/>
    </xf>
    <xf numFmtId="0" fontId="5" fillId="0" borderId="1" xfId="0"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17" fillId="0" borderId="1" xfId="0" applyFont="1" applyFill="1" applyBorder="1" applyAlignment="1">
      <alignment vertical="center" wrapText="1"/>
    </xf>
    <xf numFmtId="0" fontId="5" fillId="0" borderId="1" xfId="0" applyFont="1" applyFill="1" applyBorder="1" applyAlignment="1">
      <alignment horizontal="center" vertical="center" wrapText="1"/>
    </xf>
    <xf numFmtId="180" fontId="5" fillId="0" borderId="1" xfId="1" applyNumberFormat="1" applyFont="1" applyFill="1" applyBorder="1" applyAlignment="1">
      <alignment vertical="center" shrinkToFit="1"/>
    </xf>
    <xf numFmtId="177" fontId="5" fillId="0" borderId="1" xfId="0" applyNumberFormat="1" applyFont="1" applyFill="1" applyBorder="1" applyAlignment="1">
      <alignment horizontal="center" vertical="center" shrinkToFit="1"/>
    </xf>
    <xf numFmtId="184" fontId="18" fillId="0" borderId="1" xfId="0" applyNumberFormat="1" applyFont="1" applyFill="1" applyBorder="1" applyAlignment="1" applyProtection="1">
      <alignment vertical="center" shrinkToFit="1"/>
      <protection locked="0"/>
    </xf>
    <xf numFmtId="179" fontId="18" fillId="0" borderId="1" xfId="0" applyNumberFormat="1" applyFont="1" applyFill="1" applyBorder="1" applyAlignment="1" applyProtection="1">
      <alignment vertical="center" shrinkToFit="1"/>
      <protection locked="0"/>
    </xf>
    <xf numFmtId="185" fontId="18" fillId="0" borderId="1" xfId="0" applyNumberFormat="1" applyFont="1" applyFill="1" applyBorder="1" applyAlignment="1" applyProtection="1">
      <alignment vertical="center" shrinkToFit="1"/>
      <protection locked="0"/>
    </xf>
    <xf numFmtId="184" fontId="18" fillId="0" borderId="1" xfId="0" applyNumberFormat="1" applyFont="1" applyFill="1" applyBorder="1" applyAlignment="1" applyProtection="1">
      <alignment horizontal="center" vertical="center" shrinkToFit="1"/>
      <protection locked="0"/>
    </xf>
    <xf numFmtId="179" fontId="18" fillId="0" borderId="1" xfId="0" applyNumberFormat="1" applyFont="1" applyFill="1" applyBorder="1" applyAlignment="1" applyProtection="1">
      <alignment horizontal="center" vertical="center" shrinkToFit="1"/>
      <protection locked="0"/>
    </xf>
    <xf numFmtId="185" fontId="18" fillId="0" borderId="1" xfId="0" applyNumberFormat="1" applyFont="1" applyFill="1" applyBorder="1" applyAlignment="1" applyProtection="1">
      <alignment horizontal="center" vertical="center" shrinkToFit="1"/>
      <protection locked="0"/>
    </xf>
    <xf numFmtId="184" fontId="18" fillId="0" borderId="1" xfId="0" applyNumberFormat="1" applyFont="1" applyFill="1" applyBorder="1" applyAlignment="1" applyProtection="1">
      <alignment horizontal="right" vertical="center" shrinkToFit="1"/>
      <protection locked="0"/>
    </xf>
    <xf numFmtId="179" fontId="18" fillId="0" borderId="1" xfId="0" applyNumberFormat="1" applyFont="1" applyFill="1" applyBorder="1" applyAlignment="1" applyProtection="1">
      <alignment horizontal="right" vertical="center" shrinkToFit="1"/>
      <protection locked="0"/>
    </xf>
    <xf numFmtId="185" fontId="18" fillId="0" borderId="1" xfId="0" applyNumberFormat="1" applyFont="1" applyFill="1" applyBorder="1" applyAlignment="1" applyProtection="1">
      <alignment horizontal="right" vertical="center" shrinkToFit="1"/>
      <protection locked="0"/>
    </xf>
    <xf numFmtId="186" fontId="18" fillId="0" borderId="1" xfId="0" applyNumberFormat="1" applyFont="1" applyFill="1" applyBorder="1" applyAlignment="1" applyProtection="1">
      <alignment horizontal="right" vertical="center" shrinkToFit="1"/>
      <protection locked="0"/>
    </xf>
    <xf numFmtId="0" fontId="5" fillId="0" borderId="1" xfId="0" applyFont="1" applyFill="1" applyBorder="1" applyAlignment="1">
      <alignment vertical="center" shrinkToFit="1"/>
    </xf>
    <xf numFmtId="177" fontId="5" fillId="9" borderId="1" xfId="0" applyNumberFormat="1" applyFont="1" applyFill="1" applyBorder="1" applyAlignment="1">
      <alignment horizontal="center" vertical="center" shrinkToFit="1"/>
    </xf>
    <xf numFmtId="0" fontId="5" fillId="0" borderId="1" xfId="1" applyNumberFormat="1" applyFont="1" applyFill="1" applyBorder="1" applyAlignment="1">
      <alignment vertical="center" shrinkToFit="1"/>
    </xf>
    <xf numFmtId="187" fontId="11" fillId="9" borderId="1" xfId="0" applyNumberFormat="1" applyFont="1" applyFill="1" applyBorder="1" applyAlignment="1">
      <alignment horizontal="center" vertical="center" shrinkToFit="1"/>
    </xf>
    <xf numFmtId="38" fontId="5" fillId="0" borderId="1" xfId="1" applyNumberFormat="1" applyFont="1" applyFill="1" applyBorder="1" applyAlignment="1">
      <alignment vertical="center" shrinkToFit="1"/>
    </xf>
    <xf numFmtId="38" fontId="5" fillId="0" borderId="1" xfId="0" applyNumberFormat="1" applyFont="1" applyFill="1" applyBorder="1" applyAlignment="1">
      <alignment vertical="center" shrinkToFit="1"/>
    </xf>
    <xf numFmtId="180" fontId="5" fillId="0" borderId="1" xfId="0" applyNumberFormat="1" applyFont="1" applyFill="1" applyBorder="1" applyAlignment="1">
      <alignment vertical="center" shrinkToFit="1"/>
    </xf>
    <xf numFmtId="180" fontId="5" fillId="10" borderId="1" xfId="0" applyNumberFormat="1" applyFont="1" applyFill="1" applyBorder="1" applyAlignment="1">
      <alignment vertical="center" shrinkToFit="1"/>
    </xf>
    <xf numFmtId="180" fontId="19" fillId="6" borderId="1" xfId="0" quotePrefix="1" applyNumberFormat="1" applyFont="1" applyFill="1" applyBorder="1" applyAlignment="1">
      <alignment horizontal="center" vertical="center" wrapText="1" shrinkToFit="1"/>
    </xf>
    <xf numFmtId="38" fontId="5" fillId="8" borderId="0" xfId="0" applyNumberFormat="1" applyFont="1" applyFill="1">
      <alignment vertical="center"/>
    </xf>
    <xf numFmtId="38" fontId="19" fillId="4" borderId="0" xfId="1" applyNumberFormat="1" applyFont="1" applyFill="1" applyBorder="1" applyAlignment="1">
      <alignment vertical="center" shrinkToFit="1"/>
    </xf>
    <xf numFmtId="0" fontId="5" fillId="0" borderId="0" xfId="0" applyFont="1" applyFill="1">
      <alignment vertical="center"/>
    </xf>
    <xf numFmtId="187" fontId="5" fillId="9" borderId="1" xfId="0" applyNumberFormat="1" applyFont="1" applyFill="1" applyBorder="1" applyAlignment="1">
      <alignment horizontal="center" vertical="center" shrinkToFit="1"/>
    </xf>
    <xf numFmtId="180" fontId="5" fillId="12" borderId="1" xfId="0" applyNumberFormat="1" applyFont="1" applyFill="1" applyBorder="1" applyAlignment="1">
      <alignment vertical="center" shrinkToFit="1"/>
    </xf>
    <xf numFmtId="38" fontId="5" fillId="0" borderId="1" xfId="0" applyNumberFormat="1" applyFont="1" applyFill="1" applyBorder="1" applyAlignment="1">
      <alignment horizontal="right" vertical="center" shrinkToFit="1"/>
    </xf>
    <xf numFmtId="180" fontId="5" fillId="13" borderId="1" xfId="0" applyNumberFormat="1" applyFont="1" applyFill="1" applyBorder="1" applyAlignment="1">
      <alignment vertical="center" shrinkToFit="1"/>
    </xf>
    <xf numFmtId="180" fontId="22" fillId="0" borderId="1" xfId="0" applyNumberFormat="1" applyFont="1" applyFill="1" applyBorder="1" applyAlignment="1">
      <alignment vertical="center" wrapText="1" shrinkToFit="1"/>
    </xf>
    <xf numFmtId="0" fontId="5" fillId="0" borderId="1" xfId="1" quotePrefix="1" applyNumberFormat="1" applyFont="1" applyFill="1" applyBorder="1" applyAlignment="1">
      <alignment vertical="center" shrinkToFit="1"/>
    </xf>
    <xf numFmtId="180" fontId="5" fillId="0" borderId="1" xfId="1" applyNumberFormat="1" applyFont="1" applyFill="1" applyBorder="1" applyAlignment="1">
      <alignment vertical="center" wrapText="1" shrinkToFit="1"/>
    </xf>
    <xf numFmtId="180" fontId="19" fillId="6" borderId="1" xfId="1" applyNumberFormat="1" applyFont="1" applyFill="1" applyBorder="1" applyAlignment="1">
      <alignment horizontal="center" vertical="center" shrinkToFit="1"/>
    </xf>
    <xf numFmtId="0" fontId="5" fillId="0" borderId="0" xfId="0" applyFont="1" applyFill="1" applyBorder="1" applyAlignment="1">
      <alignment vertical="center"/>
    </xf>
    <xf numFmtId="0" fontId="5" fillId="0" borderId="1" xfId="0" applyFont="1" applyFill="1" applyBorder="1" applyAlignment="1">
      <alignment horizontal="right" vertical="center" shrinkToFit="1"/>
    </xf>
    <xf numFmtId="14" fontId="11" fillId="0" borderId="1" xfId="1" quotePrefix="1" applyNumberFormat="1" applyFont="1" applyFill="1" applyBorder="1" applyAlignment="1">
      <alignment horizontal="center" vertical="center" shrinkToFit="1"/>
    </xf>
    <xf numFmtId="14" fontId="5" fillId="0" borderId="1" xfId="1" quotePrefix="1" applyNumberFormat="1" applyFont="1" applyFill="1" applyBorder="1" applyAlignment="1">
      <alignment horizontal="center" vertical="center" shrinkToFit="1"/>
    </xf>
    <xf numFmtId="38" fontId="5" fillId="0" borderId="0" xfId="0" applyNumberFormat="1" applyFont="1" applyAlignment="1">
      <alignment vertical="center"/>
    </xf>
    <xf numFmtId="180" fontId="5" fillId="0" borderId="1" xfId="1" quotePrefix="1" applyNumberFormat="1" applyFont="1" applyFill="1" applyBorder="1" applyAlignment="1">
      <alignment horizontal="center" vertical="center" shrinkToFit="1"/>
    </xf>
    <xf numFmtId="180" fontId="5" fillId="0" borderId="1" xfId="0" applyNumberFormat="1" applyFont="1" applyFill="1" applyBorder="1" applyAlignment="1">
      <alignment horizontal="center" vertical="center" shrinkToFit="1"/>
    </xf>
    <xf numFmtId="0" fontId="5" fillId="14" borderId="25" xfId="0" applyFont="1" applyFill="1" applyBorder="1">
      <alignment vertical="center"/>
    </xf>
    <xf numFmtId="0" fontId="5" fillId="14" borderId="26" xfId="0" applyFont="1" applyFill="1" applyBorder="1" applyAlignment="1">
      <alignment horizontal="center" vertical="center" shrinkToFit="1"/>
    </xf>
    <xf numFmtId="14" fontId="5" fillId="14" borderId="26" xfId="0" applyNumberFormat="1" applyFont="1" applyFill="1" applyBorder="1" applyAlignment="1">
      <alignment horizontal="center" vertical="center" shrinkToFit="1"/>
    </xf>
    <xf numFmtId="0" fontId="5" fillId="14" borderId="26" xfId="1" applyNumberFormat="1" applyFont="1" applyFill="1" applyBorder="1" applyAlignment="1">
      <alignment vertical="center" shrinkToFit="1"/>
    </xf>
    <xf numFmtId="180" fontId="5" fillId="14" borderId="26" xfId="1" applyNumberFormat="1" applyFont="1" applyFill="1" applyBorder="1" applyAlignment="1">
      <alignment vertical="center" shrinkToFit="1"/>
    </xf>
    <xf numFmtId="38" fontId="5" fillId="14" borderId="26" xfId="1" applyNumberFormat="1" applyFont="1" applyFill="1" applyBorder="1" applyAlignment="1">
      <alignment vertical="center" shrinkToFit="1"/>
    </xf>
    <xf numFmtId="38" fontId="5" fillId="14" borderId="27" xfId="1" applyNumberFormat="1" applyFont="1" applyFill="1" applyBorder="1" applyAlignment="1">
      <alignment vertical="center" shrinkToFit="1"/>
    </xf>
    <xf numFmtId="38" fontId="5" fillId="8" borderId="28" xfId="1" applyNumberFormat="1" applyFont="1" applyFill="1" applyBorder="1" applyAlignment="1">
      <alignment vertical="center" shrinkToFit="1"/>
    </xf>
    <xf numFmtId="38" fontId="5" fillId="8" borderId="26" xfId="1" applyNumberFormat="1" applyFont="1" applyFill="1" applyBorder="1" applyAlignment="1">
      <alignment vertical="center" shrinkToFit="1"/>
    </xf>
    <xf numFmtId="38" fontId="20" fillId="14" borderId="28" xfId="1" applyNumberFormat="1" applyFont="1" applyFill="1" applyBorder="1" applyAlignment="1">
      <alignment vertical="center" shrinkToFit="1"/>
    </xf>
    <xf numFmtId="38" fontId="20" fillId="14" borderId="26" xfId="1" applyNumberFormat="1" applyFont="1" applyFill="1" applyBorder="1" applyAlignment="1">
      <alignment vertical="center" shrinkToFit="1"/>
    </xf>
    <xf numFmtId="38" fontId="5" fillId="0" borderId="0" xfId="0" applyNumberFormat="1" applyFont="1">
      <alignment vertical="center"/>
    </xf>
    <xf numFmtId="38" fontId="5" fillId="15" borderId="26" xfId="1" applyNumberFormat="1" applyFont="1" applyFill="1" applyBorder="1" applyAlignment="1">
      <alignment vertical="center" shrinkToFit="1"/>
    </xf>
    <xf numFmtId="180" fontId="5" fillId="0" borderId="0" xfId="0" applyNumberFormat="1" applyFont="1">
      <alignment vertical="center"/>
    </xf>
    <xf numFmtId="0" fontId="5" fillId="0" borderId="0" xfId="1" applyNumberFormat="1" applyFont="1">
      <alignment vertical="center"/>
    </xf>
    <xf numFmtId="41" fontId="5" fillId="0" borderId="0" xfId="1" applyFont="1" applyAlignment="1">
      <alignment vertical="center" shrinkToFit="1"/>
    </xf>
    <xf numFmtId="188" fontId="5" fillId="0" borderId="0" xfId="0" applyNumberFormat="1" applyFont="1">
      <alignment vertical="center"/>
    </xf>
    <xf numFmtId="0" fontId="5" fillId="0" borderId="0" xfId="0" applyNumberFormat="1" applyFont="1" applyFill="1" applyAlignment="1">
      <alignment vertical="center"/>
    </xf>
    <xf numFmtId="41" fontId="5" fillId="0" borderId="0" xfId="1" applyFont="1" applyAlignment="1">
      <alignment vertical="center"/>
    </xf>
    <xf numFmtId="180" fontId="5" fillId="0" borderId="0" xfId="0" applyNumberFormat="1" applyFont="1" applyAlignment="1">
      <alignment vertical="center" shrinkToFit="1"/>
    </xf>
    <xf numFmtId="41" fontId="5" fillId="0" borderId="0" xfId="0" applyNumberFormat="1" applyFont="1" applyAlignment="1">
      <alignment vertical="center" shrinkToFit="1"/>
    </xf>
    <xf numFmtId="0" fontId="5" fillId="16" borderId="1" xfId="0" applyNumberFormat="1" applyFont="1" applyFill="1" applyBorder="1" applyAlignment="1">
      <alignment horizontal="center" vertical="center" wrapText="1"/>
    </xf>
    <xf numFmtId="0" fontId="17" fillId="16" borderId="1" xfId="0" applyNumberFormat="1" applyFont="1" applyFill="1" applyBorder="1" applyAlignment="1">
      <alignment horizontal="center" vertical="center" wrapText="1"/>
    </xf>
    <xf numFmtId="0" fontId="5" fillId="16" borderId="1" xfId="0" applyFont="1" applyFill="1" applyBorder="1" applyAlignment="1">
      <alignment horizontal="center" vertical="center"/>
    </xf>
    <xf numFmtId="180" fontId="5" fillId="0" borderId="0" xfId="0" applyNumberFormat="1" applyFont="1" applyAlignment="1">
      <alignment vertical="center"/>
    </xf>
    <xf numFmtId="14" fontId="5" fillId="0" borderId="0" xfId="0" applyNumberFormat="1" applyFont="1" applyAlignment="1">
      <alignment vertical="center"/>
    </xf>
    <xf numFmtId="180" fontId="5" fillId="0" borderId="1" xfId="0" applyNumberFormat="1" applyFont="1" applyBorder="1" applyAlignment="1">
      <alignment vertical="center" shrinkToFit="1"/>
    </xf>
    <xf numFmtId="180" fontId="5" fillId="11" borderId="1" xfId="0" applyNumberFormat="1" applyFont="1" applyFill="1" applyBorder="1" applyAlignment="1">
      <alignment vertical="center" shrinkToFit="1"/>
    </xf>
    <xf numFmtId="41" fontId="5" fillId="0" borderId="1" xfId="0" applyNumberFormat="1" applyFont="1" applyBorder="1" applyAlignment="1">
      <alignment vertical="center" shrinkToFit="1"/>
    </xf>
    <xf numFmtId="180" fontId="5" fillId="0" borderId="1" xfId="0" applyNumberFormat="1" applyFont="1" applyBorder="1" applyAlignment="1">
      <alignment vertical="center"/>
    </xf>
    <xf numFmtId="41" fontId="5" fillId="0" borderId="0" xfId="1" applyFont="1" applyFill="1" applyAlignment="1">
      <alignment vertical="center"/>
    </xf>
    <xf numFmtId="41" fontId="5" fillId="0" borderId="0" xfId="0" applyNumberFormat="1" applyFont="1" applyAlignment="1">
      <alignment vertical="center"/>
    </xf>
    <xf numFmtId="41" fontId="5" fillId="0" borderId="0" xfId="0" applyNumberFormat="1" applyFont="1" applyBorder="1" applyAlignment="1">
      <alignment vertical="center"/>
    </xf>
    <xf numFmtId="0" fontId="14" fillId="0" borderId="0" xfId="0" applyFont="1" applyAlignment="1">
      <alignment vertical="center"/>
    </xf>
    <xf numFmtId="0" fontId="5" fillId="17" borderId="1" xfId="0" applyFont="1" applyFill="1" applyBorder="1" applyAlignment="1">
      <alignment horizontal="center" vertical="center"/>
    </xf>
    <xf numFmtId="0" fontId="5" fillId="17" borderId="0" xfId="0" applyFont="1" applyFill="1" applyBorder="1" applyAlignment="1">
      <alignment horizontal="center" vertical="center"/>
    </xf>
    <xf numFmtId="0" fontId="18" fillId="0" borderId="0" xfId="1" applyNumberFormat="1" applyFont="1">
      <alignment vertical="center"/>
    </xf>
    <xf numFmtId="184" fontId="5" fillId="6" borderId="1" xfId="0" applyNumberFormat="1" applyFont="1" applyFill="1" applyBorder="1" applyAlignment="1" applyProtection="1">
      <alignment horizontal="center" vertical="center"/>
      <protection locked="0"/>
    </xf>
    <xf numFmtId="0" fontId="5" fillId="6"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0" fontId="5" fillId="0" borderId="0" xfId="0" applyFont="1" applyBorder="1" applyAlignment="1">
      <alignment vertical="center" shrinkToFit="1"/>
    </xf>
    <xf numFmtId="0" fontId="24" fillId="18" borderId="1" xfId="0" applyFont="1" applyFill="1" applyBorder="1" applyAlignment="1">
      <alignment horizontal="center" vertical="center" wrapText="1"/>
    </xf>
    <xf numFmtId="0" fontId="25" fillId="18" borderId="1" xfId="0" applyFont="1" applyFill="1" applyBorder="1" applyAlignment="1">
      <alignment horizontal="center" vertical="center" shrinkToFit="1"/>
    </xf>
    <xf numFmtId="189" fontId="5" fillId="18" borderId="1" xfId="0" applyNumberFormat="1" applyFont="1" applyFill="1" applyBorder="1" applyAlignment="1" applyProtection="1">
      <alignment horizontal="center" vertical="center" shrinkToFit="1"/>
      <protection locked="0"/>
    </xf>
    <xf numFmtId="3" fontId="26" fillId="18" borderId="1" xfId="0" applyNumberFormat="1" applyFont="1" applyFill="1" applyBorder="1" applyAlignment="1">
      <alignment horizontal="right" vertical="center" shrinkToFit="1"/>
    </xf>
    <xf numFmtId="184"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14" fontId="5" fillId="19" borderId="30" xfId="0" applyNumberFormat="1" applyFont="1" applyFill="1" applyBorder="1">
      <alignment vertical="center"/>
    </xf>
    <xf numFmtId="0" fontId="27" fillId="19" borderId="31" xfId="0" applyFont="1" applyFill="1" applyBorder="1">
      <alignment vertical="center"/>
    </xf>
    <xf numFmtId="14" fontId="5" fillId="19" borderId="32" xfId="0" applyNumberFormat="1" applyFont="1" applyFill="1" applyBorder="1" applyAlignment="1">
      <alignment horizontal="right" vertical="center"/>
    </xf>
    <xf numFmtId="0" fontId="5" fillId="19" borderId="33" xfId="0" applyFont="1" applyFill="1" applyBorder="1">
      <alignment vertical="center"/>
    </xf>
    <xf numFmtId="0" fontId="27" fillId="19" borderId="33" xfId="0" applyFont="1" applyFill="1" applyBorder="1">
      <alignment vertical="center"/>
    </xf>
    <xf numFmtId="14" fontId="5" fillId="0" borderId="0" xfId="0" applyNumberFormat="1" applyFont="1" applyAlignment="1">
      <alignment horizontal="center" vertical="center"/>
    </xf>
    <xf numFmtId="14" fontId="5" fillId="0" borderId="0" xfId="0" applyNumberFormat="1" applyFont="1" applyAlignment="1">
      <alignment vertical="center" shrinkToFit="1"/>
    </xf>
    <xf numFmtId="14" fontId="5" fillId="0" borderId="0" xfId="0" applyNumberFormat="1" applyFont="1">
      <alignment vertical="center"/>
    </xf>
    <xf numFmtId="178" fontId="5" fillId="0" borderId="0" xfId="0" applyNumberFormat="1" applyFont="1">
      <alignment vertical="center"/>
    </xf>
    <xf numFmtId="184" fontId="5" fillId="7" borderId="1" xfId="0" applyNumberFormat="1" applyFont="1" applyFill="1" applyBorder="1" applyAlignment="1" applyProtection="1">
      <alignment horizontal="center" vertical="center"/>
      <protection locked="0"/>
    </xf>
    <xf numFmtId="0" fontId="5" fillId="7" borderId="1" xfId="0" applyFont="1" applyFill="1" applyBorder="1" applyAlignment="1">
      <alignment horizontal="center" vertical="center"/>
    </xf>
    <xf numFmtId="178" fontId="27" fillId="0" borderId="0" xfId="0" applyNumberFormat="1" applyFont="1">
      <alignment vertical="center"/>
    </xf>
    <xf numFmtId="3" fontId="5" fillId="0" borderId="0" xfId="0" applyNumberFormat="1" applyFont="1" applyAlignment="1">
      <alignment vertical="center"/>
    </xf>
    <xf numFmtId="49" fontId="0" fillId="0" borderId="0" xfId="0" applyNumberFormat="1" applyAlignment="1"/>
    <xf numFmtId="14" fontId="5" fillId="19" borderId="13" xfId="0" applyNumberFormat="1" applyFont="1" applyFill="1" applyBorder="1" applyAlignment="1">
      <alignment horizontal="right" vertical="center"/>
    </xf>
    <xf numFmtId="0" fontId="5" fillId="19" borderId="15" xfId="0" applyFont="1" applyFill="1" applyBorder="1">
      <alignment vertical="center"/>
    </xf>
    <xf numFmtId="190" fontId="5" fillId="0" borderId="34" xfId="0" applyNumberFormat="1" applyFont="1" applyBorder="1" applyAlignment="1">
      <alignment horizontal="right" vertical="center" shrinkToFit="1"/>
    </xf>
    <xf numFmtId="14" fontId="29" fillId="0" borderId="35" xfId="0" applyNumberFormat="1" applyFont="1" applyBorder="1" applyAlignment="1">
      <alignment vertical="center" shrinkToFit="1"/>
    </xf>
    <xf numFmtId="0" fontId="5" fillId="0" borderId="36" xfId="0" applyFont="1" applyBorder="1" applyAlignment="1">
      <alignment horizontal="left" vertical="center" shrinkToFit="1"/>
    </xf>
    <xf numFmtId="0" fontId="5" fillId="0" borderId="37" xfId="0" applyFont="1" applyBorder="1" applyAlignment="1">
      <alignment vertical="center" shrinkToFit="1"/>
    </xf>
    <xf numFmtId="190" fontId="5" fillId="0" borderId="38" xfId="0" applyNumberFormat="1" applyFont="1" applyBorder="1" applyAlignment="1">
      <alignment horizontal="right" vertical="center" shrinkToFit="1"/>
    </xf>
    <xf numFmtId="14" fontId="29" fillId="0" borderId="33" xfId="0" applyNumberFormat="1" applyFont="1" applyBorder="1" applyAlignment="1">
      <alignment vertical="center" shrinkToFit="1"/>
    </xf>
    <xf numFmtId="0" fontId="29" fillId="0" borderId="0" xfId="0" applyFont="1" applyBorder="1" applyAlignment="1">
      <alignment vertical="center" shrinkToFit="1"/>
    </xf>
    <xf numFmtId="0" fontId="29" fillId="0" borderId="39" xfId="0" applyFont="1" applyBorder="1" applyAlignment="1">
      <alignment vertical="center" shrinkToFit="1"/>
    </xf>
    <xf numFmtId="14" fontId="30" fillId="0" borderId="33" xfId="0" applyNumberFormat="1" applyFont="1" applyBorder="1" applyAlignment="1">
      <alignment vertical="center" shrinkToFit="1"/>
    </xf>
    <xf numFmtId="0" fontId="5" fillId="0" borderId="32" xfId="0" applyFont="1" applyBorder="1" applyAlignment="1">
      <alignment horizontal="right" vertical="center" shrinkToFit="1"/>
    </xf>
    <xf numFmtId="14" fontId="5" fillId="0" borderId="0" xfId="0" applyNumberFormat="1" applyFont="1" applyBorder="1" applyAlignment="1">
      <alignment vertical="center" shrinkToFit="1"/>
    </xf>
    <xf numFmtId="0" fontId="27" fillId="0" borderId="39" xfId="0" applyFont="1" applyBorder="1" applyAlignment="1">
      <alignment vertical="center" shrinkToFit="1"/>
    </xf>
    <xf numFmtId="14" fontId="5" fillId="0" borderId="0" xfId="0" applyNumberFormat="1" applyFont="1" applyBorder="1" applyAlignment="1">
      <alignment horizontal="right" vertical="center" shrinkToFit="1"/>
    </xf>
    <xf numFmtId="0" fontId="5" fillId="0" borderId="39" xfId="0" applyFont="1" applyBorder="1" applyAlignment="1">
      <alignment vertical="center" shrinkToFit="1"/>
    </xf>
    <xf numFmtId="0" fontId="29" fillId="0" borderId="40" xfId="0" applyFont="1" applyBorder="1" applyAlignment="1">
      <alignment vertical="center" shrinkToFit="1"/>
    </xf>
    <xf numFmtId="14" fontId="29" fillId="0" borderId="41" xfId="0" applyNumberFormat="1" applyFont="1" applyBorder="1" applyAlignment="1">
      <alignment vertical="center" shrinkToFit="1"/>
    </xf>
    <xf numFmtId="0" fontId="29" fillId="0" borderId="8" xfId="0" applyFont="1" applyBorder="1" applyAlignment="1">
      <alignment vertical="center" shrinkToFit="1"/>
    </xf>
    <xf numFmtId="0" fontId="29" fillId="0" borderId="42" xfId="0" applyFont="1" applyBorder="1" applyAlignment="1">
      <alignment vertical="center" shrinkToFit="1"/>
    </xf>
    <xf numFmtId="0" fontId="62" fillId="0" borderId="0" xfId="0" applyFont="1" applyAlignment="1">
      <alignment vertical="center"/>
    </xf>
    <xf numFmtId="0" fontId="18" fillId="0" borderId="0" xfId="0" applyFont="1" applyAlignment="1">
      <alignment vertical="center"/>
    </xf>
    <xf numFmtId="0" fontId="63" fillId="0" borderId="0" xfId="0" applyFont="1" applyAlignment="1">
      <alignment horizontal="right"/>
    </xf>
    <xf numFmtId="0" fontId="29" fillId="0" borderId="0" xfId="0" applyFont="1">
      <alignment vertical="center"/>
    </xf>
    <xf numFmtId="0" fontId="64" fillId="0" borderId="1" xfId="84" applyFont="1" applyBorder="1" applyAlignment="1">
      <alignment horizontal="center" vertical="center" wrapText="1"/>
    </xf>
    <xf numFmtId="0" fontId="67" fillId="0" borderId="1" xfId="84" applyFont="1" applyBorder="1" applyAlignment="1">
      <alignment horizontal="center" vertical="center" wrapText="1"/>
    </xf>
    <xf numFmtId="0" fontId="66" fillId="0" borderId="1" xfId="84" applyFont="1" applyBorder="1" applyAlignment="1">
      <alignment horizontal="center" vertical="center" wrapText="1"/>
    </xf>
    <xf numFmtId="0" fontId="64" fillId="0" borderId="1" xfId="84" applyFont="1" applyFill="1" applyBorder="1" applyAlignment="1">
      <alignment horizontal="center" vertical="center"/>
    </xf>
    <xf numFmtId="38" fontId="64" fillId="0" borderId="1" xfId="40" applyNumberFormat="1" applyFont="1" applyFill="1" applyBorder="1" applyAlignment="1">
      <alignment vertical="center" shrinkToFit="1"/>
    </xf>
    <xf numFmtId="38" fontId="64" fillId="0" borderId="1" xfId="40" applyNumberFormat="1" applyFont="1" applyBorder="1" applyAlignment="1">
      <alignment vertical="center" shrinkToFit="1"/>
    </xf>
    <xf numFmtId="38" fontId="64" fillId="0" borderId="24" xfId="84" applyNumberFormat="1" applyFont="1" applyBorder="1" applyAlignment="1">
      <alignment vertical="center" shrinkToFit="1"/>
    </xf>
    <xf numFmtId="3" fontId="18" fillId="0" borderId="0" xfId="0" applyNumberFormat="1" applyFont="1" applyAlignment="1">
      <alignment vertical="center"/>
    </xf>
    <xf numFmtId="38" fontId="18" fillId="0" borderId="0" xfId="0" applyNumberFormat="1" applyFont="1" applyAlignment="1">
      <alignment vertical="center"/>
    </xf>
    <xf numFmtId="0" fontId="67" fillId="0" borderId="1" xfId="84" applyFont="1" applyFill="1" applyBorder="1" applyAlignment="1">
      <alignment horizontal="center" vertical="center" wrapText="1"/>
    </xf>
    <xf numFmtId="0" fontId="64" fillId="0" borderId="1" xfId="84" applyFont="1" applyBorder="1" applyAlignment="1">
      <alignment horizontal="center" vertical="center"/>
    </xf>
    <xf numFmtId="0" fontId="64" fillId="43" borderId="1" xfId="84" applyFont="1" applyFill="1" applyBorder="1" applyAlignment="1">
      <alignment horizontal="center" vertical="center"/>
    </xf>
    <xf numFmtId="38" fontId="64" fillId="43" borderId="1" xfId="40" applyNumberFormat="1" applyFont="1" applyFill="1" applyBorder="1" applyAlignment="1">
      <alignment vertical="center" shrinkToFit="1"/>
    </xf>
    <xf numFmtId="38" fontId="64" fillId="43" borderId="24" xfId="84" applyNumberFormat="1" applyFont="1" applyFill="1" applyBorder="1" applyAlignment="1">
      <alignment vertical="center" shrinkToFit="1"/>
    </xf>
    <xf numFmtId="0" fontId="69" fillId="0" borderId="22" xfId="84" applyFont="1" applyBorder="1" applyAlignment="1">
      <alignment horizontal="center" vertical="center" shrinkToFit="1"/>
    </xf>
    <xf numFmtId="38" fontId="64" fillId="4" borderId="26" xfId="84" applyNumberFormat="1" applyFont="1" applyFill="1" applyBorder="1" applyAlignment="1">
      <alignment vertical="center" shrinkToFit="1"/>
    </xf>
    <xf numFmtId="38" fontId="70" fillId="4" borderId="29" xfId="84" applyNumberFormat="1" applyFont="1" applyFill="1" applyBorder="1" applyAlignment="1">
      <alignment vertical="center" shrinkToFit="1"/>
    </xf>
    <xf numFmtId="3" fontId="29" fillId="0" borderId="0" xfId="0" applyNumberFormat="1" applyFont="1">
      <alignment vertical="center"/>
    </xf>
    <xf numFmtId="0" fontId="29" fillId="0" borderId="1" xfId="0" applyFont="1" applyBorder="1" applyAlignment="1">
      <alignment horizontal="center" vertical="center" wrapText="1"/>
    </xf>
    <xf numFmtId="188" fontId="29" fillId="0" borderId="0" xfId="0" applyNumberFormat="1" applyFont="1" applyAlignment="1">
      <alignment vertical="center" shrinkToFit="1"/>
    </xf>
    <xf numFmtId="188" fontId="29" fillId="0" borderId="0" xfId="0" applyNumberFormat="1" applyFont="1" applyAlignment="1">
      <alignment vertical="center"/>
    </xf>
    <xf numFmtId="3" fontId="29" fillId="0" borderId="0" xfId="0" applyNumberFormat="1" applyFont="1" applyAlignment="1">
      <alignment vertical="center"/>
    </xf>
    <xf numFmtId="38" fontId="29" fillId="0" borderId="0" xfId="0" applyNumberFormat="1" applyFont="1" applyAlignment="1">
      <alignment vertical="center"/>
    </xf>
    <xf numFmtId="38" fontId="29" fillId="0" borderId="1" xfId="0" applyNumberFormat="1" applyFont="1" applyBorder="1" applyAlignment="1">
      <alignment vertical="center" shrinkToFit="1"/>
    </xf>
    <xf numFmtId="38" fontId="29" fillId="0" borderId="0" xfId="0" applyNumberFormat="1" applyFont="1" applyAlignment="1">
      <alignment horizontal="right" vertical="center"/>
    </xf>
    <xf numFmtId="38" fontId="5" fillId="0" borderId="0" xfId="0" applyNumberFormat="1" applyFont="1" applyFill="1" applyAlignment="1">
      <alignment vertical="center"/>
    </xf>
    <xf numFmtId="180" fontId="6" fillId="0" borderId="0" xfId="0" applyNumberFormat="1" applyFont="1" applyFill="1" applyAlignment="1">
      <alignment vertical="center" shrinkToFit="1"/>
    </xf>
    <xf numFmtId="180" fontId="71" fillId="0" borderId="0" xfId="0" applyNumberFormat="1" applyFont="1" applyFill="1" applyAlignment="1">
      <alignment vertical="center" shrinkToFit="1"/>
    </xf>
    <xf numFmtId="0" fontId="18" fillId="0" borderId="0" xfId="0" applyFont="1" applyFill="1" applyAlignment="1">
      <alignment vertical="center"/>
    </xf>
    <xf numFmtId="3" fontId="72" fillId="0" borderId="0" xfId="0" applyNumberFormat="1" applyFont="1" applyFill="1" applyAlignment="1">
      <alignment vertical="center"/>
    </xf>
    <xf numFmtId="3" fontId="18" fillId="0" borderId="0" xfId="0" applyNumberFormat="1" applyFont="1" applyFill="1" applyAlignment="1">
      <alignment vertical="center"/>
    </xf>
    <xf numFmtId="38" fontId="18" fillId="0" borderId="0" xfId="0" applyNumberFormat="1" applyFont="1" applyFill="1" applyAlignment="1">
      <alignment vertical="center"/>
    </xf>
    <xf numFmtId="0" fontId="18" fillId="0" borderId="0" xfId="0" applyFont="1" applyAlignment="1">
      <alignment vertical="center" shrinkToFit="1"/>
    </xf>
    <xf numFmtId="0" fontId="18" fillId="0" borderId="32" xfId="0" applyFont="1" applyBorder="1" applyAlignment="1">
      <alignment vertical="center" shrinkToFit="1"/>
    </xf>
    <xf numFmtId="3" fontId="64" fillId="0" borderId="1" xfId="40" applyNumberFormat="1" applyFont="1" applyBorder="1" applyAlignment="1">
      <alignment vertical="center" shrinkToFit="1"/>
    </xf>
    <xf numFmtId="3" fontId="64" fillId="0" borderId="1" xfId="40" applyNumberFormat="1" applyFont="1" applyFill="1" applyBorder="1" applyAlignment="1">
      <alignment vertical="center" shrinkToFit="1"/>
    </xf>
    <xf numFmtId="3" fontId="64" fillId="0" borderId="1" xfId="84" applyNumberFormat="1" applyFont="1" applyBorder="1" applyAlignment="1">
      <alignment vertical="center" shrinkToFit="1"/>
    </xf>
    <xf numFmtId="0" fontId="18" fillId="11" borderId="32" xfId="0" applyFont="1" applyFill="1" applyBorder="1" applyAlignment="1">
      <alignment vertical="center" shrinkToFit="1"/>
    </xf>
    <xf numFmtId="0" fontId="64" fillId="11" borderId="1" xfId="84" applyFont="1" applyFill="1" applyBorder="1" applyAlignment="1">
      <alignment horizontal="center" vertical="center"/>
    </xf>
    <xf numFmtId="3" fontId="64" fillId="11" borderId="1" xfId="40" applyNumberFormat="1" applyFont="1" applyFill="1" applyBorder="1" applyAlignment="1">
      <alignment vertical="center" shrinkToFit="1"/>
    </xf>
    <xf numFmtId="3" fontId="64" fillId="11" borderId="1" xfId="84" applyNumberFormat="1" applyFont="1" applyFill="1" applyBorder="1" applyAlignment="1">
      <alignment vertical="center" shrinkToFit="1"/>
    </xf>
    <xf numFmtId="0" fontId="29" fillId="0" borderId="0" xfId="0" applyFont="1" applyFill="1">
      <alignment vertical="center"/>
    </xf>
    <xf numFmtId="0" fontId="67" fillId="11" borderId="1" xfId="84" applyFont="1" applyFill="1" applyBorder="1" applyAlignment="1">
      <alignment horizontal="center" vertical="center" wrapText="1"/>
    </xf>
    <xf numFmtId="0" fontId="18" fillId="0" borderId="32" xfId="0" applyFont="1" applyFill="1" applyBorder="1" applyAlignment="1">
      <alignment vertical="center" shrinkToFit="1"/>
    </xf>
    <xf numFmtId="3" fontId="64" fillId="0" borderId="1" xfId="84" applyNumberFormat="1" applyFont="1" applyFill="1" applyBorder="1" applyAlignment="1">
      <alignment vertical="center" shrinkToFit="1"/>
    </xf>
    <xf numFmtId="0" fontId="66" fillId="0" borderId="1" xfId="84" applyFont="1" applyBorder="1" applyAlignment="1">
      <alignment horizontal="center" vertical="center" shrinkToFit="1"/>
    </xf>
    <xf numFmtId="0" fontId="74" fillId="0" borderId="0" xfId="0" applyFont="1">
      <alignment vertical="center"/>
    </xf>
    <xf numFmtId="0" fontId="29" fillId="0" borderId="0" xfId="0" applyFont="1" applyAlignment="1">
      <alignment vertical="center" shrinkToFit="1"/>
    </xf>
    <xf numFmtId="0" fontId="75" fillId="0" borderId="0" xfId="0" applyFont="1" applyAlignment="1">
      <alignment vertical="center"/>
    </xf>
    <xf numFmtId="188" fontId="5" fillId="0" borderId="0" xfId="0" applyNumberFormat="1" applyFont="1" applyAlignment="1">
      <alignment vertical="center"/>
    </xf>
    <xf numFmtId="180" fontId="63" fillId="0" borderId="0" xfId="0" applyNumberFormat="1" applyFont="1" applyAlignment="1">
      <alignment horizontal="right" vertical="center"/>
    </xf>
    <xf numFmtId="0" fontId="5" fillId="5" borderId="21" xfId="0" applyNumberFormat="1" applyFont="1" applyFill="1" applyBorder="1" applyAlignment="1">
      <alignment horizontal="center" vertical="center" wrapText="1" shrinkToFit="1"/>
    </xf>
    <xf numFmtId="0" fontId="5" fillId="16" borderId="1" xfId="0" applyNumberFormat="1" applyFont="1" applyFill="1" applyBorder="1" applyAlignment="1">
      <alignment horizontal="center" vertical="center" wrapText="1" shrinkToFit="1"/>
    </xf>
    <xf numFmtId="188" fontId="5" fillId="11" borderId="1" xfId="0" applyNumberFormat="1" applyFont="1" applyFill="1" applyBorder="1" applyAlignment="1">
      <alignment vertical="center" shrinkToFit="1"/>
    </xf>
    <xf numFmtId="188" fontId="5" fillId="0" borderId="1" xfId="0" applyNumberFormat="1" applyFont="1" applyFill="1" applyBorder="1" applyAlignment="1">
      <alignment vertical="center" shrinkToFit="1"/>
    </xf>
    <xf numFmtId="188" fontId="5" fillId="43" borderId="1" xfId="0" applyNumberFormat="1" applyFont="1" applyFill="1" applyBorder="1" applyAlignment="1">
      <alignment vertical="center" shrinkToFit="1"/>
    </xf>
    <xf numFmtId="188" fontId="5" fillId="45" borderId="24" xfId="0" applyNumberFormat="1" applyFont="1" applyFill="1" applyBorder="1" applyAlignment="1">
      <alignment vertical="center" shrinkToFit="1"/>
    </xf>
    <xf numFmtId="180" fontId="5" fillId="11" borderId="26" xfId="0" applyNumberFormat="1" applyFont="1" applyFill="1" applyBorder="1" applyAlignment="1">
      <alignment horizontal="center" vertical="center" shrinkToFit="1"/>
    </xf>
    <xf numFmtId="177" fontId="5" fillId="11" borderId="26" xfId="0" applyNumberFormat="1" applyFont="1" applyFill="1" applyBorder="1" applyAlignment="1">
      <alignment horizontal="center" vertical="center" shrinkToFit="1"/>
    </xf>
    <xf numFmtId="188" fontId="5" fillId="11" borderId="26" xfId="0" applyNumberFormat="1" applyFont="1" applyFill="1" applyBorder="1" applyAlignment="1">
      <alignment vertical="center" shrinkToFit="1"/>
    </xf>
    <xf numFmtId="188" fontId="5" fillId="43" borderId="26" xfId="0" applyNumberFormat="1" applyFont="1" applyFill="1" applyBorder="1" applyAlignment="1">
      <alignment vertical="center" shrinkToFit="1"/>
    </xf>
    <xf numFmtId="188" fontId="5" fillId="45" borderId="29" xfId="0" applyNumberFormat="1" applyFont="1" applyFill="1" applyBorder="1" applyAlignment="1">
      <alignment vertical="center" shrinkToFit="1"/>
    </xf>
    <xf numFmtId="0" fontId="5" fillId="0" borderId="0" xfId="0" applyFont="1" applyFill="1" applyBorder="1">
      <alignment vertical="center"/>
    </xf>
    <xf numFmtId="0" fontId="5" fillId="0" borderId="0" xfId="0" applyFont="1" applyFill="1" applyBorder="1" applyAlignment="1">
      <alignment horizontal="center" vertical="center" shrinkToFit="1"/>
    </xf>
    <xf numFmtId="180" fontId="5" fillId="0" borderId="0" xfId="0" applyNumberFormat="1" applyFont="1" applyFill="1" applyBorder="1" applyAlignment="1">
      <alignment horizontal="center" vertical="center" shrinkToFit="1"/>
    </xf>
    <xf numFmtId="188" fontId="5" fillId="0" borderId="0" xfId="1" applyNumberFormat="1" applyFont="1" applyAlignment="1">
      <alignment vertical="center" shrinkToFit="1"/>
    </xf>
    <xf numFmtId="188" fontId="5" fillId="0" borderId="0" xfId="0" applyNumberFormat="1" applyFont="1" applyAlignment="1">
      <alignment vertical="center" shrinkToFit="1"/>
    </xf>
    <xf numFmtId="0" fontId="5" fillId="0" borderId="0" xfId="1" applyNumberFormat="1" applyFont="1" applyAlignment="1">
      <alignment vertical="center"/>
    </xf>
    <xf numFmtId="0" fontId="5" fillId="0" borderId="1" xfId="0" applyFont="1" applyFill="1" applyBorder="1">
      <alignment vertical="center"/>
    </xf>
    <xf numFmtId="180" fontId="5" fillId="0" borderId="0" xfId="0" applyNumberFormat="1" applyFont="1" applyFill="1" applyAlignment="1">
      <alignment vertical="center" shrinkToFit="1"/>
    </xf>
    <xf numFmtId="0" fontId="77" fillId="0" borderId="59" xfId="0" applyFont="1" applyBorder="1" applyAlignment="1">
      <alignment vertical="center"/>
    </xf>
    <xf numFmtId="14" fontId="14" fillId="0" borderId="60" xfId="0" applyNumberFormat="1"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0" xfId="0" applyFont="1" applyBorder="1" applyAlignment="1">
      <alignment horizontal="center" vertical="center" shrinkToFit="1"/>
    </xf>
    <xf numFmtId="0" fontId="29" fillId="0" borderId="0" xfId="0" applyFont="1" applyBorder="1">
      <alignment vertical="center"/>
    </xf>
    <xf numFmtId="0" fontId="5" fillId="16" borderId="1" xfId="0" applyNumberFormat="1" applyFont="1" applyFill="1" applyBorder="1" applyAlignment="1">
      <alignment horizontal="center" vertical="center" shrinkToFit="1"/>
    </xf>
    <xf numFmtId="187" fontId="5" fillId="0" borderId="1" xfId="0" applyNumberFormat="1" applyFont="1" applyFill="1" applyBorder="1" applyAlignment="1">
      <alignment horizontal="center" vertical="center" shrinkToFit="1"/>
    </xf>
    <xf numFmtId="0" fontId="5" fillId="0" borderId="1" xfId="0" applyFont="1" applyFill="1" applyBorder="1" applyAlignment="1">
      <alignment vertical="center" wrapText="1"/>
    </xf>
    <xf numFmtId="180" fontId="5" fillId="0" borderId="1" xfId="0" quotePrefix="1" applyNumberFormat="1" applyFont="1" applyFill="1" applyBorder="1" applyAlignment="1">
      <alignment vertical="center" shrinkToFit="1"/>
    </xf>
    <xf numFmtId="180" fontId="5" fillId="0" borderId="5" xfId="0" applyNumberFormat="1" applyFont="1" applyFill="1" applyBorder="1" applyAlignment="1">
      <alignment vertical="center" shrinkToFit="1"/>
    </xf>
    <xf numFmtId="180" fontId="19" fillId="0" borderId="1" xfId="1" applyNumberFormat="1" applyFont="1" applyFill="1" applyBorder="1" applyAlignment="1">
      <alignment vertical="center" shrinkToFit="1"/>
    </xf>
    <xf numFmtId="180" fontId="5" fillId="0" borderId="0" xfId="0" applyNumberFormat="1" applyFont="1" applyFill="1" applyBorder="1" applyAlignment="1">
      <alignment vertical="center" shrinkToFit="1"/>
    </xf>
    <xf numFmtId="180" fontId="5" fillId="0" borderId="0" xfId="1" applyNumberFormat="1" applyFont="1" applyFill="1" applyBorder="1" applyAlignment="1">
      <alignment vertical="center" shrinkToFit="1"/>
    </xf>
    <xf numFmtId="180" fontId="19" fillId="0" borderId="0" xfId="1" applyNumberFormat="1" applyFont="1" applyFill="1" applyBorder="1" applyAlignment="1">
      <alignment vertical="center" shrinkToFit="1"/>
    </xf>
    <xf numFmtId="0" fontId="5" fillId="43" borderId="1" xfId="0" applyFont="1" applyFill="1" applyBorder="1" applyAlignment="1">
      <alignment horizontal="center" vertical="center" shrinkToFit="1"/>
    </xf>
    <xf numFmtId="187" fontId="5" fillId="43" borderId="1" xfId="0" applyNumberFormat="1" applyFont="1" applyFill="1" applyBorder="1" applyAlignment="1">
      <alignment horizontal="center" vertical="center" shrinkToFit="1"/>
    </xf>
    <xf numFmtId="0" fontId="5" fillId="43" borderId="1" xfId="0" applyFont="1" applyFill="1" applyBorder="1" applyAlignment="1">
      <alignment vertical="center" wrapText="1"/>
    </xf>
    <xf numFmtId="0" fontId="5" fillId="43" borderId="1" xfId="0" applyFont="1" applyFill="1" applyBorder="1" applyAlignment="1">
      <alignment horizontal="center" vertical="center" wrapText="1"/>
    </xf>
    <xf numFmtId="177" fontId="5" fillId="43" borderId="1" xfId="0" applyNumberFormat="1" applyFont="1" applyFill="1" applyBorder="1" applyAlignment="1">
      <alignment horizontal="center" vertical="center" shrinkToFit="1"/>
    </xf>
    <xf numFmtId="184" fontId="18" fillId="43" borderId="1" xfId="0" applyNumberFormat="1" applyFont="1" applyFill="1" applyBorder="1" applyAlignment="1" applyProtection="1">
      <alignment horizontal="right" vertical="center" shrinkToFit="1"/>
      <protection locked="0"/>
    </xf>
    <xf numFmtId="179" fontId="18" fillId="43" borderId="1" xfId="0" applyNumberFormat="1" applyFont="1" applyFill="1" applyBorder="1" applyAlignment="1" applyProtection="1">
      <alignment horizontal="right" vertical="center" shrinkToFit="1"/>
      <protection locked="0"/>
    </xf>
    <xf numFmtId="185" fontId="18" fillId="43" borderId="1" xfId="0" applyNumberFormat="1" applyFont="1" applyFill="1" applyBorder="1" applyAlignment="1" applyProtection="1">
      <alignment horizontal="right" vertical="center" shrinkToFit="1"/>
      <protection locked="0"/>
    </xf>
    <xf numFmtId="186" fontId="18" fillId="43" borderId="1" xfId="0" applyNumberFormat="1" applyFont="1" applyFill="1" applyBorder="1" applyAlignment="1" applyProtection="1">
      <alignment horizontal="right" vertical="center" shrinkToFit="1"/>
      <protection locked="0"/>
    </xf>
    <xf numFmtId="0" fontId="5" fillId="43" borderId="1" xfId="0" applyFont="1" applyFill="1" applyBorder="1" applyAlignment="1">
      <alignment horizontal="right" vertical="center" shrinkToFit="1"/>
    </xf>
    <xf numFmtId="0" fontId="5" fillId="43" borderId="1" xfId="1" applyNumberFormat="1" applyFont="1" applyFill="1" applyBorder="1" applyAlignment="1">
      <alignment vertical="center" shrinkToFit="1"/>
    </xf>
    <xf numFmtId="180" fontId="5" fillId="43" borderId="1" xfId="1" applyNumberFormat="1" applyFont="1" applyFill="1" applyBorder="1" applyAlignment="1">
      <alignment vertical="center" shrinkToFit="1"/>
    </xf>
    <xf numFmtId="180" fontId="5" fillId="43" borderId="1" xfId="0" applyNumberFormat="1" applyFont="1" applyFill="1" applyBorder="1" applyAlignment="1">
      <alignment vertical="center" shrinkToFit="1"/>
    </xf>
    <xf numFmtId="180" fontId="5" fillId="43" borderId="1" xfId="0" quotePrefix="1" applyNumberFormat="1" applyFont="1" applyFill="1" applyBorder="1" applyAlignment="1">
      <alignment vertical="center" shrinkToFit="1"/>
    </xf>
    <xf numFmtId="180" fontId="5" fillId="43" borderId="5" xfId="0" applyNumberFormat="1" applyFont="1" applyFill="1" applyBorder="1" applyAlignment="1">
      <alignment vertical="center" shrinkToFit="1"/>
    </xf>
    <xf numFmtId="180" fontId="20" fillId="43" borderId="7" xfId="0" applyNumberFormat="1" applyFont="1" applyFill="1" applyBorder="1" applyAlignment="1">
      <alignment vertical="center" shrinkToFit="1"/>
    </xf>
    <xf numFmtId="180" fontId="20" fillId="43" borderId="1" xfId="0" applyNumberFormat="1" applyFont="1" applyFill="1" applyBorder="1" applyAlignment="1">
      <alignment vertical="center" shrinkToFit="1"/>
    </xf>
    <xf numFmtId="180" fontId="19" fillId="43" borderId="1" xfId="1" applyNumberFormat="1" applyFont="1" applyFill="1" applyBorder="1" applyAlignment="1">
      <alignment vertical="center" shrinkToFit="1"/>
    </xf>
    <xf numFmtId="180" fontId="16" fillId="43" borderId="1" xfId="1" applyNumberFormat="1" applyFont="1" applyFill="1" applyBorder="1" applyAlignment="1">
      <alignment vertical="center" shrinkToFit="1"/>
    </xf>
    <xf numFmtId="180" fontId="78" fillId="0" borderId="1" xfId="0" applyNumberFormat="1" applyFont="1" applyFill="1" applyBorder="1" applyAlignment="1">
      <alignment vertical="center" shrinkToFit="1"/>
    </xf>
    <xf numFmtId="180" fontId="16" fillId="0" borderId="1" xfId="1" applyNumberFormat="1" applyFont="1" applyFill="1" applyBorder="1" applyAlignment="1">
      <alignment vertical="center" shrinkToFit="1"/>
    </xf>
    <xf numFmtId="180" fontId="5" fillId="0" borderId="1" xfId="0" quotePrefix="1" applyNumberFormat="1" applyFont="1" applyFill="1" applyBorder="1" applyAlignment="1">
      <alignment horizontal="right" vertical="center" shrinkToFit="1"/>
    </xf>
    <xf numFmtId="180" fontId="78" fillId="43" borderId="1" xfId="0" applyNumberFormat="1" applyFont="1" applyFill="1" applyBorder="1" applyAlignment="1">
      <alignment vertical="center" shrinkToFit="1"/>
    </xf>
    <xf numFmtId="180" fontId="9" fillId="0" borderId="1" xfId="0" applyNumberFormat="1" applyFont="1" applyFill="1" applyBorder="1" applyAlignment="1">
      <alignment vertical="center" shrinkToFit="1"/>
    </xf>
    <xf numFmtId="180" fontId="11" fillId="0" borderId="1" xfId="0" quotePrefix="1" applyNumberFormat="1" applyFont="1" applyFill="1" applyBorder="1" applyAlignment="1">
      <alignment vertical="center"/>
    </xf>
    <xf numFmtId="0" fontId="11" fillId="0" borderId="1" xfId="0" applyFont="1" applyFill="1" applyBorder="1" applyAlignment="1">
      <alignment horizontal="center" vertical="center" shrinkToFit="1"/>
    </xf>
    <xf numFmtId="187" fontId="5" fillId="0" borderId="0" xfId="0" applyNumberFormat="1" applyFont="1" applyFill="1" applyBorder="1" applyAlignment="1">
      <alignment horizontal="center" vertical="center" shrinkToFi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177" fontId="5" fillId="0" borderId="0" xfId="0" applyNumberFormat="1" applyFont="1" applyFill="1" applyBorder="1" applyAlignment="1">
      <alignment horizontal="center" vertical="center" shrinkToFit="1"/>
    </xf>
    <xf numFmtId="184" fontId="18" fillId="0" borderId="0" xfId="0" applyNumberFormat="1" applyFont="1" applyFill="1" applyBorder="1" applyAlignment="1" applyProtection="1">
      <alignment horizontal="right" vertical="center" shrinkToFit="1"/>
      <protection locked="0"/>
    </xf>
    <xf numFmtId="179" fontId="18" fillId="0" borderId="0" xfId="0" applyNumberFormat="1" applyFont="1" applyFill="1" applyBorder="1" applyAlignment="1" applyProtection="1">
      <alignment horizontal="right" vertical="center" shrinkToFit="1"/>
      <protection locked="0"/>
    </xf>
    <xf numFmtId="185" fontId="18" fillId="0" borderId="0" xfId="0" applyNumberFormat="1" applyFont="1" applyFill="1" applyBorder="1" applyAlignment="1" applyProtection="1">
      <alignment horizontal="right" vertical="center" shrinkToFit="1"/>
      <protection locked="0"/>
    </xf>
    <xf numFmtId="186" fontId="18" fillId="0" borderId="0" xfId="0" applyNumberFormat="1" applyFont="1" applyFill="1" applyBorder="1" applyAlignment="1" applyProtection="1">
      <alignment horizontal="right" vertical="center" shrinkToFit="1"/>
      <protection locked="0"/>
    </xf>
    <xf numFmtId="0" fontId="5" fillId="0" borderId="0" xfId="0" applyFont="1" applyFill="1" applyBorder="1" applyAlignment="1">
      <alignment horizontal="right" vertical="center" shrinkToFit="1"/>
    </xf>
    <xf numFmtId="0" fontId="5" fillId="0" borderId="0" xfId="1" applyNumberFormat="1" applyFont="1" applyFill="1" applyBorder="1" applyAlignment="1">
      <alignment vertical="center" shrinkToFit="1"/>
    </xf>
    <xf numFmtId="180" fontId="5" fillId="0" borderId="0" xfId="0" quotePrefix="1" applyNumberFormat="1" applyFont="1" applyFill="1" applyBorder="1" applyAlignment="1">
      <alignment horizontal="right" vertical="center" shrinkToFit="1"/>
    </xf>
    <xf numFmtId="180" fontId="5" fillId="0" borderId="0" xfId="0" quotePrefix="1" applyNumberFormat="1" applyFont="1" applyFill="1" applyBorder="1" applyAlignment="1">
      <alignment vertical="center" shrinkToFit="1"/>
    </xf>
    <xf numFmtId="180" fontId="78" fillId="0" borderId="0" xfId="0" applyNumberFormat="1" applyFont="1" applyFill="1" applyBorder="1" applyAlignment="1">
      <alignment vertical="center" shrinkToFit="1"/>
    </xf>
    <xf numFmtId="180" fontId="16" fillId="0" borderId="0" xfId="1" applyNumberFormat="1" applyFont="1" applyFill="1" applyBorder="1" applyAlignment="1">
      <alignment vertical="center" shrinkToFit="1"/>
    </xf>
    <xf numFmtId="0" fontId="73" fillId="0" borderId="0" xfId="0" applyFont="1">
      <alignment vertical="center"/>
    </xf>
    <xf numFmtId="0" fontId="74" fillId="0" borderId="0" xfId="0" applyFont="1" applyAlignment="1">
      <alignment vertical="center" shrinkToFit="1"/>
    </xf>
    <xf numFmtId="0" fontId="73" fillId="0" borderId="0" xfId="0" applyFont="1" applyAlignment="1">
      <alignment vertical="center"/>
    </xf>
    <xf numFmtId="0" fontId="79" fillId="0" borderId="0" xfId="0" applyFont="1" applyAlignment="1">
      <alignment vertical="center" shrinkToFit="1"/>
    </xf>
    <xf numFmtId="180" fontId="29" fillId="0" borderId="0" xfId="0" applyNumberFormat="1" applyFont="1" applyAlignment="1">
      <alignment vertical="center" shrinkToFit="1"/>
    </xf>
    <xf numFmtId="0" fontId="81" fillId="0" borderId="0" xfId="0" applyFont="1" applyAlignment="1">
      <alignment vertical="center"/>
    </xf>
    <xf numFmtId="0" fontId="29" fillId="0" borderId="0" xfId="0" applyFont="1" applyAlignment="1">
      <alignment horizontal="centerContinuous" vertical="center"/>
    </xf>
    <xf numFmtId="0" fontId="63" fillId="16" borderId="1" xfId="0" applyFont="1" applyFill="1" applyBorder="1" applyAlignment="1">
      <alignment horizontal="center" vertical="center" shrinkToFit="1"/>
    </xf>
    <xf numFmtId="0" fontId="5" fillId="16" borderId="1" xfId="0" applyFont="1" applyFill="1" applyBorder="1" applyAlignment="1">
      <alignment horizontal="center" vertical="center" wrapText="1" shrinkToFit="1"/>
    </xf>
    <xf numFmtId="0" fontId="11" fillId="16" borderId="1" xfId="0" applyNumberFormat="1" applyFont="1" applyFill="1" applyBorder="1" applyAlignment="1">
      <alignment horizontal="center" vertical="center" wrapText="1" shrinkToFit="1"/>
    </xf>
    <xf numFmtId="0" fontId="76" fillId="16" borderId="1" xfId="0" applyNumberFormat="1" applyFont="1" applyFill="1" applyBorder="1" applyAlignment="1">
      <alignment horizontal="center" vertical="center" wrapText="1" shrinkToFit="1"/>
    </xf>
    <xf numFmtId="2" fontId="29" fillId="0" borderId="1" xfId="0" applyNumberFormat="1" applyFont="1" applyBorder="1">
      <alignment vertical="center"/>
    </xf>
    <xf numFmtId="2" fontId="29" fillId="0" borderId="58" xfId="0" applyNumberFormat="1" applyFont="1" applyBorder="1">
      <alignment vertical="center"/>
    </xf>
    <xf numFmtId="0" fontId="5" fillId="0" borderId="58" xfId="0" applyFont="1" applyBorder="1" applyAlignment="1">
      <alignment vertical="center" wrapText="1"/>
    </xf>
    <xf numFmtId="0" fontId="18" fillId="0" borderId="1" xfId="0" applyFont="1" applyFill="1" applyBorder="1" applyAlignment="1">
      <alignment horizontal="center" vertical="center" shrinkToFit="1"/>
    </xf>
    <xf numFmtId="0" fontId="18" fillId="0" borderId="1" xfId="0" applyFont="1" applyFill="1" applyBorder="1" applyAlignment="1">
      <alignment horizontal="left" vertical="center" shrinkToFit="1"/>
    </xf>
    <xf numFmtId="38" fontId="5" fillId="0" borderId="1" xfId="0" applyNumberFormat="1" applyFont="1" applyFill="1" applyBorder="1" applyAlignment="1">
      <alignment horizontal="center" vertical="center" shrinkToFit="1"/>
    </xf>
    <xf numFmtId="38" fontId="5" fillId="9" borderId="1" xfId="0" applyNumberFormat="1" applyFont="1" applyFill="1" applyBorder="1" applyAlignment="1">
      <alignment vertical="center" shrinkToFit="1"/>
    </xf>
    <xf numFmtId="0" fontId="5" fillId="0" borderId="1" xfId="0" applyNumberFormat="1" applyFont="1" applyFill="1" applyBorder="1" applyAlignment="1">
      <alignment vertical="center" wrapText="1"/>
    </xf>
    <xf numFmtId="41" fontId="29" fillId="0" borderId="30" xfId="1" applyFont="1" applyBorder="1">
      <alignment vertical="center"/>
    </xf>
    <xf numFmtId="180" fontId="29" fillId="0" borderId="64" xfId="0" applyNumberFormat="1" applyFont="1" applyBorder="1">
      <alignment vertical="center"/>
    </xf>
    <xf numFmtId="0" fontId="29" fillId="0" borderId="64" xfId="0" applyFont="1" applyBorder="1">
      <alignment vertical="center"/>
    </xf>
    <xf numFmtId="0" fontId="29" fillId="0" borderId="31" xfId="0" applyFont="1" applyBorder="1">
      <alignment vertical="center"/>
    </xf>
    <xf numFmtId="41" fontId="79" fillId="0" borderId="32" xfId="1" applyFont="1" applyBorder="1">
      <alignment vertical="center"/>
    </xf>
    <xf numFmtId="180" fontId="29" fillId="0" borderId="0" xfId="0" applyNumberFormat="1" applyFont="1" applyBorder="1">
      <alignment vertical="center"/>
    </xf>
    <xf numFmtId="0" fontId="29" fillId="0" borderId="33" xfId="0" applyFont="1" applyBorder="1">
      <alignment vertical="center"/>
    </xf>
    <xf numFmtId="41" fontId="29" fillId="0" borderId="13" xfId="1" applyFont="1" applyBorder="1">
      <alignment vertical="center"/>
    </xf>
    <xf numFmtId="180" fontId="29" fillId="0" borderId="14" xfId="0" applyNumberFormat="1" applyFont="1" applyBorder="1">
      <alignment vertical="center"/>
    </xf>
    <xf numFmtId="0" fontId="29" fillId="0" borderId="14" xfId="0" applyFont="1" applyBorder="1">
      <alignment vertical="center"/>
    </xf>
    <xf numFmtId="0" fontId="29" fillId="0" borderId="15" xfId="0" applyFont="1" applyBorder="1">
      <alignment vertical="center"/>
    </xf>
    <xf numFmtId="194" fontId="29" fillId="0" borderId="0" xfId="1" applyNumberFormat="1" applyFont="1">
      <alignment vertical="center"/>
    </xf>
    <xf numFmtId="41" fontId="29" fillId="0" borderId="0" xfId="1" applyFont="1">
      <alignment vertical="center"/>
    </xf>
    <xf numFmtId="0" fontId="76" fillId="43" borderId="7" xfId="0" applyFont="1" applyFill="1" applyBorder="1" applyAlignment="1">
      <alignment horizontal="center" vertical="center" shrinkToFit="1"/>
    </xf>
    <xf numFmtId="177" fontId="5" fillId="43" borderId="1" xfId="0" applyNumberFormat="1" applyFont="1" applyFill="1" applyBorder="1" applyAlignment="1">
      <alignment horizontal="left" vertical="center" shrinkToFit="1"/>
    </xf>
    <xf numFmtId="38" fontId="5" fillId="43" borderId="1" xfId="0" applyNumberFormat="1" applyFont="1" applyFill="1" applyBorder="1" applyAlignment="1">
      <alignment vertical="center" shrinkToFit="1"/>
    </xf>
    <xf numFmtId="0" fontId="5" fillId="43" borderId="1" xfId="0" applyNumberFormat="1" applyFont="1" applyFill="1" applyBorder="1" applyAlignment="1">
      <alignment vertical="center" wrapText="1"/>
    </xf>
    <xf numFmtId="0" fontId="9" fillId="0" borderId="0" xfId="0" applyFont="1">
      <alignment vertical="center"/>
    </xf>
    <xf numFmtId="0" fontId="24" fillId="0" borderId="0" xfId="0" applyFont="1" applyAlignment="1">
      <alignment vertical="center"/>
    </xf>
    <xf numFmtId="0" fontId="26" fillId="0" borderId="0" xfId="0" applyFont="1" applyAlignment="1">
      <alignment vertical="center"/>
    </xf>
    <xf numFmtId="0" fontId="29" fillId="0" borderId="0" xfId="0" applyFont="1" applyAlignment="1">
      <alignment vertical="center"/>
    </xf>
    <xf numFmtId="0" fontId="20" fillId="0" borderId="0" xfId="0" applyFont="1" applyAlignment="1">
      <alignment vertical="center"/>
    </xf>
    <xf numFmtId="0" fontId="20" fillId="0" borderId="0" xfId="0" applyFont="1">
      <alignment vertical="center"/>
    </xf>
    <xf numFmtId="0" fontId="12" fillId="0" borderId="0" xfId="0" applyFont="1" applyAlignment="1">
      <alignment vertical="center"/>
    </xf>
    <xf numFmtId="3" fontId="29" fillId="0" borderId="1" xfId="40" applyNumberFormat="1" applyFont="1" applyBorder="1" applyAlignment="1">
      <alignment vertical="center" shrinkToFit="1"/>
    </xf>
    <xf numFmtId="0" fontId="18" fillId="0" borderId="0" xfId="0" applyNumberFormat="1" applyFont="1" applyFill="1" applyAlignment="1">
      <alignment vertical="center"/>
    </xf>
    <xf numFmtId="3" fontId="64" fillId="43" borderId="1" xfId="40" applyNumberFormat="1" applyFont="1" applyFill="1" applyBorder="1" applyAlignment="1">
      <alignment vertical="center" shrinkToFit="1"/>
    </xf>
    <xf numFmtId="3" fontId="29" fillId="43" borderId="1" xfId="40" applyNumberFormat="1" applyFont="1" applyFill="1" applyBorder="1" applyAlignment="1">
      <alignment vertical="center" shrinkToFit="1"/>
    </xf>
    <xf numFmtId="186" fontId="18" fillId="3" borderId="1" xfId="0" applyNumberFormat="1" applyFont="1" applyFill="1" applyBorder="1" applyAlignment="1" applyProtection="1">
      <alignment horizontal="right" vertical="center" shrinkToFit="1"/>
      <protection locked="0"/>
    </xf>
    <xf numFmtId="188" fontId="5" fillId="0" borderId="0" xfId="0" applyNumberFormat="1" applyFont="1" applyFill="1" applyAlignment="1">
      <alignment vertical="center"/>
    </xf>
    <xf numFmtId="180" fontId="5" fillId="46" borderId="1" xfId="0" applyNumberFormat="1" applyFont="1" applyFill="1" applyBorder="1" applyAlignment="1">
      <alignment vertical="center" shrinkToFit="1"/>
    </xf>
    <xf numFmtId="0" fontId="5" fillId="0" borderId="58" xfId="0" applyFont="1" applyFill="1" applyBorder="1" applyAlignment="1">
      <alignment horizontal="center" vertical="center" shrinkToFit="1"/>
    </xf>
    <xf numFmtId="0" fontId="5" fillId="0" borderId="58" xfId="0" applyNumberFormat="1" applyFont="1" applyFill="1" applyBorder="1" applyAlignment="1">
      <alignment horizontal="center" vertical="center" shrinkToFit="1"/>
    </xf>
    <xf numFmtId="0" fontId="5" fillId="0" borderId="58" xfId="0" quotePrefix="1" applyFont="1" applyFill="1" applyBorder="1" applyAlignment="1">
      <alignment horizontal="center" vertical="center" shrinkToFit="1"/>
    </xf>
    <xf numFmtId="177" fontId="5" fillId="0" borderId="58" xfId="0" applyNumberFormat="1" applyFont="1" applyFill="1" applyBorder="1" applyAlignment="1">
      <alignment horizontal="center" vertical="center" shrinkToFit="1"/>
    </xf>
    <xf numFmtId="184" fontId="18" fillId="0" borderId="58" xfId="0" applyNumberFormat="1" applyFont="1" applyFill="1" applyBorder="1" applyAlignment="1" applyProtection="1">
      <alignment horizontal="right" vertical="center" shrinkToFit="1"/>
      <protection locked="0"/>
    </xf>
    <xf numFmtId="179" fontId="18" fillId="0" borderId="58" xfId="0" applyNumberFormat="1" applyFont="1" applyFill="1" applyBorder="1" applyAlignment="1" applyProtection="1">
      <alignment horizontal="right" vertical="center" shrinkToFit="1"/>
      <protection locked="0"/>
    </xf>
    <xf numFmtId="185" fontId="18" fillId="0" borderId="58" xfId="0" applyNumberFormat="1" applyFont="1" applyFill="1" applyBorder="1" applyAlignment="1" applyProtection="1">
      <alignment horizontal="right" vertical="center" shrinkToFit="1"/>
      <protection locked="0"/>
    </xf>
    <xf numFmtId="186" fontId="18" fillId="3" borderId="58" xfId="0" applyNumberFormat="1" applyFont="1" applyFill="1" applyBorder="1" applyAlignment="1" applyProtection="1">
      <alignment horizontal="right" vertical="center" shrinkToFit="1"/>
      <protection locked="0"/>
    </xf>
    <xf numFmtId="0" fontId="5" fillId="0" borderId="58" xfId="0" applyFont="1" applyFill="1" applyBorder="1" applyAlignment="1">
      <alignment horizontal="right" vertical="center" shrinkToFit="1"/>
    </xf>
    <xf numFmtId="0" fontId="5" fillId="0" borderId="58" xfId="1" applyNumberFormat="1" applyFont="1" applyFill="1" applyBorder="1" applyAlignment="1">
      <alignment vertical="center" wrapText="1" shrinkToFit="1"/>
    </xf>
    <xf numFmtId="180" fontId="5" fillId="0" borderId="58" xfId="1" quotePrefix="1" applyNumberFormat="1" applyFont="1" applyFill="1" applyBorder="1" applyAlignment="1">
      <alignment horizontal="center" vertical="center" shrinkToFit="1"/>
    </xf>
    <xf numFmtId="180" fontId="5" fillId="0" borderId="58" xfId="1" applyNumberFormat="1" applyFont="1" applyFill="1" applyBorder="1" applyAlignment="1">
      <alignment vertical="center" wrapText="1" shrinkToFit="1"/>
    </xf>
    <xf numFmtId="38" fontId="5" fillId="0" borderId="58" xfId="1" applyNumberFormat="1" applyFont="1" applyFill="1" applyBorder="1" applyAlignment="1">
      <alignment vertical="center" shrinkToFit="1"/>
    </xf>
    <xf numFmtId="38" fontId="5" fillId="0" borderId="58" xfId="0" applyNumberFormat="1" applyFont="1" applyFill="1" applyBorder="1" applyAlignment="1">
      <alignment vertical="center" shrinkToFit="1"/>
    </xf>
    <xf numFmtId="180" fontId="5" fillId="0" borderId="58" xfId="0" applyNumberFormat="1" applyFont="1" applyFill="1" applyBorder="1" applyAlignment="1">
      <alignment vertical="center" shrinkToFit="1"/>
    </xf>
    <xf numFmtId="180" fontId="5" fillId="0" borderId="58" xfId="0" applyNumberFormat="1" applyFont="1" applyFill="1" applyBorder="1" applyAlignment="1">
      <alignment horizontal="center" vertical="center" shrinkToFit="1"/>
    </xf>
    <xf numFmtId="180" fontId="5" fillId="4" borderId="1" xfId="0" applyNumberFormat="1" applyFont="1" applyFill="1" applyBorder="1" applyAlignment="1">
      <alignment vertical="center" shrinkToFit="1"/>
    </xf>
    <xf numFmtId="180" fontId="5" fillId="48" borderId="1" xfId="0" applyNumberFormat="1" applyFont="1" applyFill="1" applyBorder="1" applyAlignment="1">
      <alignment vertical="center" shrinkToFit="1"/>
    </xf>
    <xf numFmtId="180" fontId="19" fillId="49" borderId="1" xfId="1" applyNumberFormat="1" applyFont="1" applyFill="1" applyBorder="1" applyAlignment="1">
      <alignment horizontal="center" vertical="center" shrinkToFit="1"/>
    </xf>
    <xf numFmtId="180" fontId="5" fillId="49" borderId="1" xfId="0" quotePrefix="1" applyNumberFormat="1" applyFont="1" applyFill="1" applyBorder="1" applyAlignment="1">
      <alignment horizontal="center" vertical="center" shrinkToFit="1"/>
    </xf>
    <xf numFmtId="38" fontId="5" fillId="14" borderId="26" xfId="1" applyNumberFormat="1" applyFont="1" applyFill="1" applyBorder="1" applyAlignment="1">
      <alignment vertical="center" shrinkToFit="1"/>
    </xf>
    <xf numFmtId="180" fontId="5" fillId="43" borderId="7" xfId="0" applyNumberFormat="1" applyFont="1" applyFill="1" applyBorder="1" applyAlignment="1">
      <alignment vertical="center" shrinkToFit="1"/>
    </xf>
    <xf numFmtId="0" fontId="9" fillId="0" borderId="1" xfId="0" applyFont="1" applyFill="1" applyBorder="1" applyAlignment="1">
      <alignment horizontal="left" vertical="center"/>
    </xf>
    <xf numFmtId="196" fontId="5" fillId="0" borderId="1" xfId="0" applyNumberFormat="1" applyFont="1" applyFill="1" applyBorder="1" applyAlignment="1">
      <alignment vertical="center" shrinkToFit="1"/>
    </xf>
    <xf numFmtId="196" fontId="5" fillId="0" borderId="1" xfId="0" quotePrefix="1" applyNumberFormat="1" applyFont="1" applyFill="1" applyBorder="1" applyAlignment="1">
      <alignment vertical="center" shrinkToFit="1"/>
    </xf>
    <xf numFmtId="196" fontId="5" fillId="0" borderId="5" xfId="0" applyNumberFormat="1" applyFont="1" applyFill="1" applyBorder="1" applyAlignment="1">
      <alignment vertical="center" shrinkToFit="1"/>
    </xf>
    <xf numFmtId="196" fontId="5" fillId="47" borderId="23" xfId="0" applyNumberFormat="1" applyFont="1" applyFill="1" applyBorder="1" applyAlignment="1">
      <alignment vertical="center" shrinkToFit="1"/>
    </xf>
    <xf numFmtId="196" fontId="5" fillId="8" borderId="70" xfId="0" applyNumberFormat="1" applyFont="1" applyFill="1" applyBorder="1" applyAlignment="1">
      <alignment vertical="center" shrinkToFit="1"/>
    </xf>
    <xf numFmtId="196" fontId="5" fillId="8" borderId="1" xfId="0" applyNumberFormat="1" applyFont="1" applyFill="1" applyBorder="1" applyAlignment="1">
      <alignment vertical="center" shrinkToFit="1"/>
    </xf>
    <xf numFmtId="196" fontId="20" fillId="0" borderId="7" xfId="0" applyNumberFormat="1" applyFont="1" applyFill="1" applyBorder="1" applyAlignment="1">
      <alignment vertical="center" shrinkToFit="1"/>
    </xf>
    <xf numFmtId="196" fontId="20" fillId="0" borderId="1" xfId="0" applyNumberFormat="1" applyFont="1" applyFill="1" applyBorder="1" applyAlignment="1">
      <alignment vertical="center" shrinkToFit="1"/>
    </xf>
    <xf numFmtId="196" fontId="19" fillId="0" borderId="1" xfId="1" applyNumberFormat="1" applyFont="1" applyFill="1" applyBorder="1" applyAlignment="1">
      <alignment vertical="center" shrinkToFit="1"/>
    </xf>
    <xf numFmtId="196" fontId="20" fillId="0" borderId="1" xfId="1" applyNumberFormat="1" applyFont="1" applyFill="1" applyBorder="1" applyAlignment="1">
      <alignment vertical="center" shrinkToFit="1"/>
    </xf>
    <xf numFmtId="196" fontId="16" fillId="0" borderId="1" xfId="1" applyNumberFormat="1" applyFont="1" applyFill="1" applyBorder="1" applyAlignment="1">
      <alignment vertical="center" shrinkToFit="1"/>
    </xf>
    <xf numFmtId="196" fontId="5" fillId="11" borderId="24" xfId="0" applyNumberFormat="1" applyFont="1" applyFill="1" applyBorder="1" applyAlignment="1">
      <alignment vertical="center" shrinkToFit="1"/>
    </xf>
    <xf numFmtId="196" fontId="5" fillId="8" borderId="0" xfId="0" applyNumberFormat="1" applyFont="1" applyFill="1">
      <alignment vertical="center"/>
    </xf>
    <xf numFmtId="196" fontId="5" fillId="0" borderId="0" xfId="0" applyNumberFormat="1" applyFont="1" applyFill="1">
      <alignment vertical="center"/>
    </xf>
    <xf numFmtId="196" fontId="19" fillId="0" borderId="69" xfId="0" applyNumberFormat="1" applyFont="1" applyFill="1" applyBorder="1">
      <alignment vertical="center"/>
    </xf>
    <xf numFmtId="196" fontId="19" fillId="0" borderId="0" xfId="0" applyNumberFormat="1" applyFont="1" applyFill="1">
      <alignment vertical="center"/>
    </xf>
    <xf numFmtId="196" fontId="5" fillId="0" borderId="0" xfId="1" applyNumberFormat="1" applyFont="1" applyFill="1" applyBorder="1" applyAlignment="1">
      <alignment vertical="center" shrinkToFit="1"/>
    </xf>
    <xf numFmtId="196" fontId="21" fillId="0" borderId="0" xfId="1" applyNumberFormat="1" applyFont="1" applyFill="1" applyBorder="1" applyAlignment="1">
      <alignment vertical="center" shrinkToFit="1"/>
    </xf>
    <xf numFmtId="196" fontId="19" fillId="0" borderId="0" xfId="1" applyNumberFormat="1" applyFont="1" applyFill="1" applyBorder="1" applyAlignment="1">
      <alignment vertical="center" shrinkToFit="1"/>
    </xf>
    <xf numFmtId="196" fontId="5" fillId="9" borderId="0" xfId="0" applyNumberFormat="1" applyFont="1" applyFill="1">
      <alignment vertical="center"/>
    </xf>
    <xf numFmtId="196" fontId="5" fillId="8" borderId="7" xfId="0" applyNumberFormat="1" applyFont="1" applyFill="1" applyBorder="1" applyAlignment="1">
      <alignment vertical="center" shrinkToFit="1"/>
    </xf>
    <xf numFmtId="196" fontId="5" fillId="0" borderId="24" xfId="0" applyNumberFormat="1" applyFont="1" applyFill="1" applyBorder="1" applyAlignment="1">
      <alignment vertical="center" shrinkToFit="1"/>
    </xf>
    <xf numFmtId="196" fontId="5" fillId="0" borderId="0" xfId="0" applyNumberFormat="1" applyFont="1" applyAlignment="1">
      <alignment vertical="center"/>
    </xf>
    <xf numFmtId="196" fontId="5" fillId="0" borderId="58" xfId="0" applyNumberFormat="1" applyFont="1" applyFill="1" applyBorder="1" applyAlignment="1">
      <alignment vertical="center" shrinkToFit="1"/>
    </xf>
    <xf numFmtId="196" fontId="5" fillId="0" borderId="58" xfId="0" quotePrefix="1" applyNumberFormat="1" applyFont="1" applyFill="1" applyBorder="1" applyAlignment="1">
      <alignment vertical="center" shrinkToFit="1"/>
    </xf>
    <xf numFmtId="196" fontId="5" fillId="0" borderId="30" xfId="0" applyNumberFormat="1" applyFont="1" applyFill="1" applyBorder="1" applyAlignment="1">
      <alignment vertical="center" shrinkToFit="1"/>
    </xf>
    <xf numFmtId="196" fontId="5" fillId="8" borderId="31" xfId="0" applyNumberFormat="1" applyFont="1" applyFill="1" applyBorder="1" applyAlignment="1">
      <alignment vertical="center" shrinkToFit="1"/>
    </xf>
    <xf numFmtId="196" fontId="5" fillId="8" borderId="58" xfId="0" applyNumberFormat="1" applyFont="1" applyFill="1" applyBorder="1" applyAlignment="1">
      <alignment vertical="center" shrinkToFit="1"/>
    </xf>
    <xf numFmtId="196" fontId="20" fillId="0" borderId="31" xfId="0" applyNumberFormat="1" applyFont="1" applyFill="1" applyBorder="1" applyAlignment="1">
      <alignment vertical="center" shrinkToFit="1"/>
    </xf>
    <xf numFmtId="196" fontId="20" fillId="0" borderId="58" xfId="0" applyNumberFormat="1" applyFont="1" applyFill="1" applyBorder="1" applyAlignment="1">
      <alignment vertical="center" shrinkToFit="1"/>
    </xf>
    <xf numFmtId="196" fontId="19" fillId="0" borderId="58" xfId="1" applyNumberFormat="1" applyFont="1" applyFill="1" applyBorder="1" applyAlignment="1">
      <alignment vertical="center" shrinkToFit="1"/>
    </xf>
    <xf numFmtId="196" fontId="16" fillId="0" borderId="58" xfId="1" applyNumberFormat="1" applyFont="1" applyFill="1" applyBorder="1" applyAlignment="1">
      <alignment vertical="center" shrinkToFit="1"/>
    </xf>
    <xf numFmtId="196" fontId="5" fillId="0" borderId="0" xfId="0" applyNumberFormat="1" applyFont="1" applyFill="1" applyBorder="1" applyAlignment="1">
      <alignment vertical="center"/>
    </xf>
    <xf numFmtId="0" fontId="5" fillId="43" borderId="22" xfId="0" applyNumberFormat="1" applyFont="1" applyFill="1" applyBorder="1">
      <alignment vertical="center"/>
    </xf>
    <xf numFmtId="0" fontId="5" fillId="43" borderId="1" xfId="0" applyNumberFormat="1" applyFont="1" applyFill="1" applyBorder="1" applyAlignment="1">
      <alignment horizontal="center" vertical="center" shrinkToFit="1"/>
    </xf>
    <xf numFmtId="0" fontId="5" fillId="43" borderId="1" xfId="0" applyNumberFormat="1" applyFont="1" applyFill="1" applyBorder="1" applyAlignment="1">
      <alignment horizontal="center" vertical="center" wrapText="1"/>
    </xf>
    <xf numFmtId="0" fontId="18" fillId="43" borderId="1" xfId="0" applyNumberFormat="1" applyFont="1" applyFill="1" applyBorder="1" applyAlignment="1" applyProtection="1">
      <alignment horizontal="right" vertical="center" shrinkToFit="1"/>
      <protection locked="0"/>
    </xf>
    <xf numFmtId="0" fontId="5" fillId="43" borderId="1" xfId="0" applyNumberFormat="1" applyFont="1" applyFill="1" applyBorder="1" applyAlignment="1">
      <alignment horizontal="right" vertical="center" shrinkToFit="1"/>
    </xf>
    <xf numFmtId="0" fontId="5" fillId="43" borderId="1" xfId="0" applyNumberFormat="1" applyFont="1" applyFill="1" applyBorder="1" applyAlignment="1">
      <alignment vertical="center" shrinkToFit="1"/>
    </xf>
    <xf numFmtId="0" fontId="19" fillId="43" borderId="1" xfId="0" quotePrefix="1" applyNumberFormat="1" applyFont="1" applyFill="1" applyBorder="1" applyAlignment="1">
      <alignment horizontal="center" vertical="center" wrapText="1" shrinkToFit="1"/>
    </xf>
    <xf numFmtId="0" fontId="5" fillId="43" borderId="1" xfId="0" quotePrefix="1" applyNumberFormat="1" applyFont="1" applyFill="1" applyBorder="1" applyAlignment="1">
      <alignment vertical="center" shrinkToFit="1"/>
    </xf>
    <xf numFmtId="0" fontId="19" fillId="0" borderId="1" xfId="1" applyNumberFormat="1" applyFont="1" applyFill="1" applyBorder="1" applyAlignment="1">
      <alignment vertical="center" shrinkToFit="1"/>
    </xf>
    <xf numFmtId="0" fontId="16" fillId="0" borderId="1" xfId="1" applyNumberFormat="1" applyFont="1" applyFill="1" applyBorder="1" applyAlignment="1">
      <alignment vertical="center" shrinkToFit="1"/>
    </xf>
    <xf numFmtId="0" fontId="5" fillId="0" borderId="1" xfId="0" applyNumberFormat="1" applyFont="1" applyFill="1" applyBorder="1" applyAlignment="1">
      <alignment vertical="center" shrinkToFit="1"/>
    </xf>
    <xf numFmtId="0" fontId="5" fillId="0" borderId="0" xfId="0" applyNumberFormat="1" applyFont="1" applyFill="1">
      <alignment vertical="center"/>
    </xf>
    <xf numFmtId="0" fontId="22" fillId="43" borderId="1" xfId="0" applyNumberFormat="1" applyFont="1" applyFill="1" applyBorder="1" applyAlignment="1">
      <alignment vertical="center" wrapText="1" shrinkToFit="1"/>
    </xf>
    <xf numFmtId="0" fontId="19" fillId="43" borderId="1" xfId="1" applyNumberFormat="1" applyFont="1" applyFill="1" applyBorder="1" applyAlignment="1">
      <alignment horizontal="center" vertical="center" shrinkToFit="1"/>
    </xf>
    <xf numFmtId="0" fontId="5" fillId="43" borderId="1" xfId="0" quotePrefix="1" applyNumberFormat="1" applyFont="1" applyFill="1" applyBorder="1" applyAlignment="1">
      <alignment horizontal="center" vertical="center" shrinkToFit="1"/>
    </xf>
    <xf numFmtId="0" fontId="5" fillId="43" borderId="58" xfId="0" applyNumberFormat="1" applyFont="1" applyFill="1" applyBorder="1" applyAlignment="1">
      <alignment horizontal="center" vertical="center" shrinkToFit="1"/>
    </xf>
    <xf numFmtId="0" fontId="5" fillId="43" borderId="58" xfId="0" applyNumberFormat="1" applyFont="1" applyFill="1" applyBorder="1" applyAlignment="1">
      <alignment vertical="center" shrinkToFit="1"/>
    </xf>
    <xf numFmtId="0" fontId="5" fillId="0" borderId="1" xfId="0" applyNumberFormat="1" applyFont="1" applyFill="1" applyBorder="1">
      <alignment vertical="center"/>
    </xf>
    <xf numFmtId="0" fontId="5" fillId="0"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right" vertical="center" shrinkToFit="1"/>
      <protection locked="0"/>
    </xf>
    <xf numFmtId="0" fontId="5" fillId="0" borderId="1" xfId="0" applyNumberFormat="1" applyFont="1" applyFill="1" applyBorder="1" applyAlignment="1">
      <alignment horizontal="right" vertical="center" shrinkToFit="1"/>
    </xf>
    <xf numFmtId="0" fontId="5" fillId="0" borderId="1" xfId="0" quotePrefix="1" applyNumberFormat="1" applyFont="1" applyFill="1" applyBorder="1" applyAlignment="1">
      <alignment horizontal="right" vertical="center" shrinkToFit="1"/>
    </xf>
    <xf numFmtId="0" fontId="5" fillId="0" borderId="1" xfId="0" quotePrefix="1" applyNumberFormat="1" applyFont="1" applyFill="1" applyBorder="1" applyAlignment="1">
      <alignment vertical="center" shrinkToFit="1"/>
    </xf>
    <xf numFmtId="0" fontId="5" fillId="0" borderId="5" xfId="0" applyNumberFormat="1" applyFont="1" applyFill="1" applyBorder="1" applyAlignment="1">
      <alignment vertical="center" shrinkToFit="1"/>
    </xf>
    <xf numFmtId="0" fontId="78" fillId="0" borderId="1" xfId="0" applyNumberFormat="1" applyFont="1" applyFill="1" applyBorder="1" applyAlignment="1">
      <alignment vertical="center" shrinkToFit="1"/>
    </xf>
    <xf numFmtId="0" fontId="5" fillId="43" borderId="5" xfId="0" applyNumberFormat="1" applyFont="1" applyFill="1" applyBorder="1" applyAlignment="1">
      <alignment vertical="center" shrinkToFit="1"/>
    </xf>
    <xf numFmtId="41" fontId="5" fillId="43" borderId="1" xfId="1" applyFont="1" applyFill="1" applyBorder="1" applyAlignment="1">
      <alignment vertical="center" shrinkToFit="1"/>
    </xf>
    <xf numFmtId="41" fontId="5" fillId="43" borderId="1" xfId="1" quotePrefix="1" applyFont="1" applyFill="1" applyBorder="1" applyAlignment="1">
      <alignment vertical="center" shrinkToFit="1"/>
    </xf>
    <xf numFmtId="41" fontId="5" fillId="43" borderId="22" xfId="1" applyFont="1" applyFill="1" applyBorder="1">
      <alignment vertical="center"/>
    </xf>
    <xf numFmtId="41" fontId="5" fillId="43" borderId="1" xfId="1" applyFont="1" applyFill="1" applyBorder="1" applyAlignment="1">
      <alignment horizontal="center" vertical="center" shrinkToFit="1"/>
    </xf>
    <xf numFmtId="41" fontId="5" fillId="43" borderId="1" xfId="1" applyFont="1" applyFill="1" applyBorder="1" applyAlignment="1">
      <alignment vertical="center" wrapText="1"/>
    </xf>
    <xf numFmtId="41" fontId="5" fillId="43" borderId="1" xfId="1" applyFont="1" applyFill="1" applyBorder="1" applyAlignment="1">
      <alignment horizontal="center" vertical="center" wrapText="1"/>
    </xf>
    <xf numFmtId="41" fontId="18" fillId="43" borderId="1" xfId="1" applyFont="1" applyFill="1" applyBorder="1" applyAlignment="1" applyProtection="1">
      <alignment horizontal="right" vertical="center" shrinkToFit="1"/>
      <protection locked="0"/>
    </xf>
    <xf numFmtId="41" fontId="5" fillId="43" borderId="58" xfId="1" applyFont="1" applyFill="1" applyBorder="1" applyAlignment="1">
      <alignment vertical="center" shrinkToFit="1"/>
    </xf>
    <xf numFmtId="41" fontId="5" fillId="43" borderId="58" xfId="1" quotePrefix="1" applyFont="1" applyFill="1" applyBorder="1" applyAlignment="1">
      <alignment vertical="center" shrinkToFit="1"/>
    </xf>
    <xf numFmtId="41" fontId="5" fillId="43" borderId="58" xfId="1" applyFont="1" applyFill="1" applyBorder="1" applyAlignment="1">
      <alignment horizontal="center" vertical="center" shrinkToFit="1"/>
    </xf>
    <xf numFmtId="41" fontId="5" fillId="43" borderId="1" xfId="1" applyFont="1" applyFill="1" applyBorder="1" applyAlignment="1" applyProtection="1">
      <alignment horizontal="right" vertical="center" shrinkToFit="1"/>
      <protection locked="0"/>
    </xf>
    <xf numFmtId="41" fontId="19" fillId="43" borderId="1" xfId="1" applyFont="1" applyFill="1" applyBorder="1" applyAlignment="1">
      <alignment vertical="center" shrinkToFit="1"/>
    </xf>
    <xf numFmtId="41" fontId="16" fillId="43" borderId="1" xfId="1" applyFont="1" applyFill="1" applyBorder="1" applyAlignment="1">
      <alignment vertical="center" shrinkToFit="1"/>
    </xf>
    <xf numFmtId="0" fontId="5" fillId="43" borderId="1" xfId="0" applyNumberFormat="1" applyFont="1" applyFill="1" applyBorder="1">
      <alignment vertical="center"/>
    </xf>
    <xf numFmtId="0" fontId="5" fillId="43" borderId="1" xfId="0" applyFont="1" applyFill="1" applyBorder="1">
      <alignment vertical="center"/>
    </xf>
    <xf numFmtId="180" fontId="5" fillId="47" borderId="0" xfId="0" applyNumberFormat="1" applyFont="1" applyFill="1" applyAlignment="1">
      <alignment horizontal="right" vertical="center"/>
    </xf>
    <xf numFmtId="0" fontId="18" fillId="46" borderId="0" xfId="0" applyFont="1" applyFill="1" applyBorder="1">
      <alignment vertical="center"/>
    </xf>
    <xf numFmtId="0" fontId="18" fillId="46" borderId="0" xfId="0" applyFont="1" applyFill="1" applyBorder="1" applyAlignment="1">
      <alignment horizontal="right" vertical="center"/>
    </xf>
    <xf numFmtId="0" fontId="18" fillId="0" borderId="0" xfId="0" applyFont="1" applyBorder="1">
      <alignment vertical="center"/>
    </xf>
    <xf numFmtId="0" fontId="18" fillId="0" borderId="73" xfId="0" applyFont="1" applyBorder="1" applyAlignment="1">
      <alignment horizontal="center" vertical="center"/>
    </xf>
    <xf numFmtId="41" fontId="18" fillId="0" borderId="73" xfId="0" applyNumberFormat="1" applyFont="1" applyBorder="1" applyAlignment="1">
      <alignment horizontal="center" vertical="center"/>
    </xf>
    <xf numFmtId="0" fontId="18" fillId="46" borderId="0" xfId="0" applyFont="1" applyFill="1" applyBorder="1" applyAlignment="1">
      <alignment horizontal="center" vertical="center"/>
    </xf>
    <xf numFmtId="0" fontId="18" fillId="2" borderId="73" xfId="0" applyFont="1" applyFill="1" applyBorder="1" applyAlignment="1">
      <alignment horizontal="center" vertical="center"/>
    </xf>
    <xf numFmtId="0" fontId="18" fillId="46" borderId="73" xfId="0" applyFont="1" applyFill="1" applyBorder="1">
      <alignment vertical="center"/>
    </xf>
    <xf numFmtId="0" fontId="18" fillId="46" borderId="73" xfId="0" applyFont="1" applyFill="1" applyBorder="1" applyAlignment="1">
      <alignment horizontal="center" vertical="center"/>
    </xf>
    <xf numFmtId="0" fontId="18" fillId="46" borderId="78" xfId="0" applyFont="1" applyFill="1" applyBorder="1">
      <alignment vertical="center"/>
    </xf>
    <xf numFmtId="0" fontId="18" fillId="0" borderId="73" xfId="0" applyFont="1" applyBorder="1" applyAlignment="1">
      <alignment horizontal="distributed" vertical="center" indent="1"/>
    </xf>
    <xf numFmtId="38" fontId="18" fillId="0" borderId="73" xfId="0" applyNumberFormat="1" applyFont="1" applyBorder="1" applyAlignment="1">
      <alignment horizontal="right" vertical="center" indent="1"/>
    </xf>
    <xf numFmtId="0" fontId="76" fillId="0" borderId="12" xfId="0" applyFont="1" applyBorder="1" applyAlignment="1">
      <alignment horizontal="distributed" vertical="center" indent="1"/>
    </xf>
    <xf numFmtId="41" fontId="76" fillId="0" borderId="12" xfId="0" applyNumberFormat="1" applyFont="1" applyBorder="1" applyAlignment="1">
      <alignment horizontal="center" vertical="center"/>
    </xf>
    <xf numFmtId="0" fontId="18" fillId="0" borderId="73" xfId="0" applyFont="1" applyBorder="1" applyAlignment="1">
      <alignment horizontal="center" vertical="center" wrapText="1"/>
    </xf>
    <xf numFmtId="0" fontId="18" fillId="0" borderId="0" xfId="0" applyNumberFormat="1" applyFont="1" applyFill="1" applyAlignment="1">
      <alignment horizontal="left" vertical="center"/>
    </xf>
    <xf numFmtId="0" fontId="92" fillId="46" borderId="0" xfId="0" applyFont="1" applyFill="1" applyBorder="1" applyAlignment="1">
      <alignment horizontal="left" vertical="center"/>
    </xf>
    <xf numFmtId="199" fontId="18" fillId="0" borderId="0" xfId="0" applyNumberFormat="1" applyFont="1" applyFill="1" applyBorder="1" applyAlignment="1">
      <alignment horizontal="center" vertical="center" shrinkToFit="1"/>
    </xf>
    <xf numFmtId="0" fontId="18" fillId="0" borderId="34" xfId="0" applyNumberFormat="1" applyFont="1" applyFill="1" applyBorder="1" applyAlignment="1">
      <alignment vertical="center"/>
    </xf>
    <xf numFmtId="0" fontId="18" fillId="0" borderId="36" xfId="0" applyNumberFormat="1" applyFont="1" applyFill="1" applyBorder="1" applyAlignment="1">
      <alignment vertical="center"/>
    </xf>
    <xf numFmtId="0" fontId="18" fillId="0" borderId="37" xfId="0" applyNumberFormat="1" applyFont="1" applyFill="1" applyBorder="1" applyAlignment="1">
      <alignment vertical="center"/>
    </xf>
    <xf numFmtId="0" fontId="18" fillId="0" borderId="38" xfId="0" applyNumberFormat="1" applyFont="1" applyFill="1" applyBorder="1" applyAlignment="1">
      <alignment vertical="center"/>
    </xf>
    <xf numFmtId="0" fontId="18" fillId="0" borderId="39" xfId="0" applyNumberFormat="1" applyFont="1" applyFill="1" applyBorder="1" applyAlignment="1">
      <alignment vertical="center"/>
    </xf>
    <xf numFmtId="0" fontId="18" fillId="0" borderId="40" xfId="0" applyNumberFormat="1" applyFont="1" applyFill="1" applyBorder="1" applyAlignment="1">
      <alignment vertical="center"/>
    </xf>
    <xf numFmtId="0" fontId="18" fillId="0" borderId="42" xfId="0" applyNumberFormat="1" applyFont="1" applyFill="1" applyBorder="1" applyAlignment="1">
      <alignment vertical="center"/>
    </xf>
    <xf numFmtId="0" fontId="92" fillId="0" borderId="0" xfId="0" applyNumberFormat="1" applyFont="1" applyFill="1" applyBorder="1" applyAlignment="1">
      <alignment vertical="center"/>
    </xf>
    <xf numFmtId="38" fontId="18" fillId="0" borderId="0" xfId="0" applyNumberFormat="1" applyFont="1" applyFill="1" applyAlignment="1">
      <alignment horizontal="left" vertical="center"/>
    </xf>
    <xf numFmtId="0" fontId="5" fillId="0" borderId="1" xfId="0" applyFont="1" applyFill="1" applyBorder="1" applyAlignment="1">
      <alignment horizontal="center" vertical="center" wrapText="1" shrinkToFit="1"/>
    </xf>
    <xf numFmtId="0" fontId="5" fillId="0" borderId="58" xfId="0" applyFont="1" applyFill="1" applyBorder="1" applyAlignment="1">
      <alignment horizontal="center" vertical="center" wrapText="1" shrinkToFit="1"/>
    </xf>
    <xf numFmtId="0" fontId="94" fillId="0" borderId="79" xfId="0" applyFont="1" applyBorder="1" applyAlignment="1">
      <alignment vertical="center" wrapText="1"/>
    </xf>
    <xf numFmtId="0" fontId="26" fillId="0" borderId="101" xfId="0" applyFont="1" applyBorder="1" applyAlignment="1">
      <alignment horizontal="right" vertical="center" wrapText="1"/>
    </xf>
    <xf numFmtId="0" fontId="26" fillId="0" borderId="102" xfId="0" applyFont="1" applyBorder="1" applyAlignment="1">
      <alignment horizontal="justify" vertical="center" wrapText="1"/>
    </xf>
    <xf numFmtId="0" fontId="26" fillId="0" borderId="103" xfId="0" applyFont="1" applyBorder="1" applyAlignment="1">
      <alignment horizontal="left" vertical="center" wrapText="1"/>
    </xf>
    <xf numFmtId="0" fontId="26" fillId="0" borderId="65" xfId="0" applyFont="1" applyBorder="1" applyAlignment="1">
      <alignment horizontal="center" vertical="center" wrapText="1"/>
    </xf>
    <xf numFmtId="0" fontId="26" fillId="0" borderId="95"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9" xfId="0" applyFont="1" applyBorder="1" applyAlignment="1">
      <alignment horizontal="center" vertical="center" wrapText="1"/>
    </xf>
    <xf numFmtId="38" fontId="26" fillId="0" borderId="65" xfId="0" applyNumberFormat="1" applyFont="1" applyBorder="1" applyAlignment="1">
      <alignment vertical="center" shrinkToFit="1"/>
    </xf>
    <xf numFmtId="38" fontId="26" fillId="0" borderId="120" xfId="0" applyNumberFormat="1" applyFont="1" applyBorder="1" applyAlignment="1">
      <alignment vertical="center" shrinkToFit="1"/>
    </xf>
    <xf numFmtId="0" fontId="26" fillId="0" borderId="118" xfId="0" applyFont="1" applyBorder="1" applyAlignment="1">
      <alignment horizontal="right" vertical="center" indent="1"/>
    </xf>
    <xf numFmtId="0" fontId="26" fillId="0" borderId="124" xfId="0" applyFont="1" applyBorder="1" applyAlignment="1">
      <alignment vertical="center" wrapText="1"/>
    </xf>
    <xf numFmtId="0" fontId="26" fillId="0" borderId="124" xfId="0" applyFont="1" applyBorder="1" applyAlignment="1">
      <alignment horizontal="right" vertical="center"/>
    </xf>
    <xf numFmtId="0" fontId="95" fillId="0" borderId="0" xfId="0" applyNumberFormat="1" applyFont="1" applyFill="1" applyAlignment="1">
      <alignment vertical="center"/>
    </xf>
    <xf numFmtId="182" fontId="5" fillId="2" borderId="0" xfId="2" applyNumberFormat="1" applyFont="1" applyFill="1" applyBorder="1" applyAlignment="1">
      <alignment horizontal="center" vertical="center" wrapText="1"/>
    </xf>
    <xf numFmtId="183" fontId="5" fillId="2" borderId="0" xfId="2" applyNumberFormat="1" applyFont="1" applyFill="1" applyBorder="1" applyAlignment="1">
      <alignment horizontal="center" vertical="center" wrapText="1"/>
    </xf>
    <xf numFmtId="10" fontId="14" fillId="2" borderId="0" xfId="2" applyNumberFormat="1" applyFont="1" applyFill="1" applyBorder="1" applyAlignment="1">
      <alignment horizontal="center" vertical="center" wrapText="1"/>
    </xf>
    <xf numFmtId="0" fontId="5" fillId="0" borderId="12" xfId="0" applyFont="1" applyFill="1" applyBorder="1">
      <alignment vertical="center"/>
    </xf>
    <xf numFmtId="0" fontId="5" fillId="0" borderId="12" xfId="0" applyFont="1" applyFill="1" applyBorder="1" applyAlignment="1">
      <alignment horizontal="center" vertical="center" shrinkToFit="1"/>
    </xf>
    <xf numFmtId="187" fontId="5" fillId="0" borderId="12" xfId="0" applyNumberFormat="1" applyFont="1" applyFill="1" applyBorder="1" applyAlignment="1">
      <alignment horizontal="center" vertical="center" shrinkToFi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177" fontId="5" fillId="0" borderId="12" xfId="0" applyNumberFormat="1" applyFont="1" applyFill="1" applyBorder="1" applyAlignment="1">
      <alignment horizontal="center" vertical="center" shrinkToFit="1"/>
    </xf>
    <xf numFmtId="184" fontId="18" fillId="0" borderId="12" xfId="0" applyNumberFormat="1" applyFont="1" applyFill="1" applyBorder="1" applyAlignment="1" applyProtection="1">
      <alignment horizontal="right" vertical="center" shrinkToFit="1"/>
      <protection locked="0"/>
    </xf>
    <xf numFmtId="179" fontId="18" fillId="0" borderId="12" xfId="0" applyNumberFormat="1" applyFont="1" applyFill="1" applyBorder="1" applyAlignment="1" applyProtection="1">
      <alignment horizontal="right" vertical="center" shrinkToFit="1"/>
      <protection locked="0"/>
    </xf>
    <xf numFmtId="185" fontId="18" fillId="0" borderId="12" xfId="0" applyNumberFormat="1" applyFont="1" applyFill="1" applyBorder="1" applyAlignment="1" applyProtection="1">
      <alignment horizontal="right" vertical="center" shrinkToFit="1"/>
      <protection locked="0"/>
    </xf>
    <xf numFmtId="186" fontId="18" fillId="0" borderId="12" xfId="0" applyNumberFormat="1" applyFont="1" applyFill="1" applyBorder="1" applyAlignment="1" applyProtection="1">
      <alignment horizontal="right" vertical="center" shrinkToFit="1"/>
      <protection locked="0"/>
    </xf>
    <xf numFmtId="0" fontId="5" fillId="0" borderId="12" xfId="0" applyFont="1" applyFill="1" applyBorder="1" applyAlignment="1">
      <alignment horizontal="right" vertical="center" shrinkToFit="1"/>
    </xf>
    <xf numFmtId="0" fontId="5" fillId="0" borderId="12" xfId="1" applyNumberFormat="1" applyFont="1" applyFill="1" applyBorder="1" applyAlignment="1">
      <alignment vertical="center" shrinkToFit="1"/>
    </xf>
    <xf numFmtId="180" fontId="5" fillId="0" borderId="12" xfId="1" applyNumberFormat="1" applyFont="1" applyFill="1" applyBorder="1" applyAlignment="1">
      <alignment vertical="center" shrinkToFit="1"/>
    </xf>
    <xf numFmtId="180" fontId="5" fillId="0" borderId="12" xfId="0" applyNumberFormat="1" applyFont="1" applyFill="1" applyBorder="1" applyAlignment="1">
      <alignment vertical="center" shrinkToFit="1"/>
    </xf>
    <xf numFmtId="180" fontId="5" fillId="0" borderId="12" xfId="0" quotePrefix="1" applyNumberFormat="1" applyFont="1" applyFill="1" applyBorder="1" applyAlignment="1">
      <alignment vertical="center" shrinkToFit="1"/>
    </xf>
    <xf numFmtId="180" fontId="5" fillId="0" borderId="13" xfId="0" applyNumberFormat="1" applyFont="1" applyFill="1" applyBorder="1" applyAlignment="1">
      <alignment vertical="center" shrinkToFit="1"/>
    </xf>
    <xf numFmtId="180" fontId="19" fillId="0" borderId="12" xfId="1" applyNumberFormat="1" applyFont="1" applyFill="1" applyBorder="1" applyAlignment="1">
      <alignment vertical="center" shrinkToFit="1"/>
    </xf>
    <xf numFmtId="0" fontId="5" fillId="5" borderId="73" xfId="0" applyNumberFormat="1" applyFont="1" applyFill="1" applyBorder="1" applyAlignment="1">
      <alignment horizontal="center" vertical="center"/>
    </xf>
    <xf numFmtId="0" fontId="5" fillId="5" borderId="73" xfId="0" applyNumberFormat="1" applyFont="1" applyFill="1" applyBorder="1" applyAlignment="1">
      <alignment horizontal="center" vertical="center" shrinkToFit="1"/>
    </xf>
    <xf numFmtId="0" fontId="5" fillId="5" borderId="73" xfId="1" applyNumberFormat="1" applyFont="1" applyFill="1" applyBorder="1" applyAlignment="1">
      <alignment horizontal="center" vertical="center" shrinkToFit="1"/>
    </xf>
    <xf numFmtId="0" fontId="5" fillId="5" borderId="73" xfId="0" applyNumberFormat="1" applyFont="1" applyFill="1" applyBorder="1" applyAlignment="1">
      <alignment horizontal="center" vertical="center" wrapText="1" shrinkToFit="1"/>
    </xf>
    <xf numFmtId="0" fontId="5" fillId="6" borderId="73" xfId="0" applyNumberFormat="1" applyFont="1" applyFill="1" applyBorder="1" applyAlignment="1">
      <alignment horizontal="center" vertical="center" wrapText="1" shrinkToFit="1"/>
    </xf>
    <xf numFmtId="0" fontId="12" fillId="5" borderId="73" xfId="1" applyNumberFormat="1" applyFont="1" applyFill="1" applyBorder="1" applyAlignment="1">
      <alignment horizontal="center" vertical="center" shrinkToFit="1"/>
    </xf>
    <xf numFmtId="0" fontId="17" fillId="5" borderId="73" xfId="0" applyNumberFormat="1" applyFont="1" applyFill="1" applyBorder="1" applyAlignment="1">
      <alignment horizontal="center" vertical="center" wrapText="1" shrinkToFit="1"/>
    </xf>
    <xf numFmtId="0" fontId="10" fillId="7" borderId="73" xfId="0" applyNumberFormat="1" applyFont="1" applyFill="1" applyBorder="1" applyAlignment="1">
      <alignment horizontal="center" vertical="center" wrapText="1" shrinkToFit="1"/>
    </xf>
    <xf numFmtId="0" fontId="9" fillId="7" borderId="73" xfId="0" applyNumberFormat="1" applyFont="1" applyFill="1" applyBorder="1" applyAlignment="1">
      <alignment horizontal="center" vertical="center" wrapText="1" shrinkToFit="1"/>
    </xf>
    <xf numFmtId="0" fontId="5" fillId="8" borderId="73" xfId="0" applyNumberFormat="1" applyFont="1" applyFill="1" applyBorder="1" applyAlignment="1">
      <alignment horizontal="center" vertical="center" wrapText="1" shrinkToFit="1"/>
    </xf>
    <xf numFmtId="0" fontId="5" fillId="2" borderId="73" xfId="1" applyNumberFormat="1" applyFont="1" applyFill="1" applyBorder="1" applyAlignment="1">
      <alignment horizontal="center" vertical="center" wrapText="1" shrinkToFit="1"/>
    </xf>
    <xf numFmtId="0" fontId="5" fillId="2" borderId="73" xfId="0" applyNumberFormat="1" applyFont="1" applyFill="1" applyBorder="1" applyAlignment="1">
      <alignment horizontal="center" vertical="center" wrapText="1" shrinkToFit="1"/>
    </xf>
    <xf numFmtId="0" fontId="5" fillId="5" borderId="73" xfId="0" applyNumberFormat="1" applyFont="1" applyFill="1" applyBorder="1" applyAlignment="1">
      <alignment horizontal="center" vertical="center" wrapText="1"/>
    </xf>
    <xf numFmtId="0" fontId="5" fillId="0" borderId="73" xfId="0" applyFont="1" applyBorder="1">
      <alignment vertical="center"/>
    </xf>
    <xf numFmtId="200" fontId="5" fillId="0" borderId="1" xfId="0" applyNumberFormat="1" applyFont="1" applyFill="1" applyBorder="1" applyAlignment="1">
      <alignment vertical="center" shrinkToFit="1"/>
    </xf>
    <xf numFmtId="0" fontId="5" fillId="43" borderId="73" xfId="0" applyNumberFormat="1" applyFont="1" applyFill="1" applyBorder="1">
      <alignment vertical="center"/>
    </xf>
    <xf numFmtId="0" fontId="5" fillId="43" borderId="73" xfId="0" applyNumberFormat="1" applyFont="1" applyFill="1" applyBorder="1" applyAlignment="1">
      <alignment horizontal="center" vertical="center" shrinkToFit="1"/>
    </xf>
    <xf numFmtId="0" fontId="5" fillId="43" borderId="73" xfId="0" applyNumberFormat="1" applyFont="1" applyFill="1" applyBorder="1" applyAlignment="1">
      <alignment vertical="center" wrapText="1"/>
    </xf>
    <xf numFmtId="0" fontId="5" fillId="43" borderId="73" xfId="0" applyNumberFormat="1" applyFont="1" applyFill="1" applyBorder="1" applyAlignment="1">
      <alignment horizontal="center" vertical="center" wrapText="1"/>
    </xf>
    <xf numFmtId="0" fontId="18" fillId="43" borderId="73" xfId="0" applyNumberFormat="1" applyFont="1" applyFill="1" applyBorder="1" applyAlignment="1" applyProtection="1">
      <alignment horizontal="right" vertical="center" shrinkToFit="1"/>
      <protection locked="0"/>
    </xf>
    <xf numFmtId="0" fontId="5" fillId="43" borderId="73" xfId="0" applyNumberFormat="1" applyFont="1" applyFill="1" applyBorder="1" applyAlignment="1">
      <alignment horizontal="right" vertical="center" shrinkToFit="1"/>
    </xf>
    <xf numFmtId="0" fontId="5" fillId="43" borderId="73" xfId="1" applyNumberFormat="1" applyFont="1" applyFill="1" applyBorder="1" applyAlignment="1">
      <alignment vertical="center" shrinkToFit="1"/>
    </xf>
    <xf numFmtId="0" fontId="5" fillId="43" borderId="73" xfId="0" applyNumberFormat="1" applyFont="1" applyFill="1" applyBorder="1" applyAlignment="1">
      <alignment vertical="center" shrinkToFit="1"/>
    </xf>
    <xf numFmtId="0" fontId="5" fillId="43" borderId="73" xfId="0" quotePrefix="1" applyNumberFormat="1" applyFont="1" applyFill="1" applyBorder="1" applyAlignment="1">
      <alignment vertical="center" shrinkToFit="1"/>
    </xf>
    <xf numFmtId="0" fontId="5" fillId="43" borderId="75" xfId="0" applyNumberFormat="1" applyFont="1" applyFill="1" applyBorder="1" applyAlignment="1">
      <alignment vertical="center" shrinkToFit="1"/>
    </xf>
    <xf numFmtId="0" fontId="14" fillId="0" borderId="62" xfId="0" applyFont="1" applyBorder="1" applyAlignment="1">
      <alignment horizontal="center" vertical="center"/>
    </xf>
    <xf numFmtId="0" fontId="14" fillId="0" borderId="0" xfId="0" applyFont="1" applyBorder="1" applyAlignment="1">
      <alignment horizontal="center" vertical="center"/>
    </xf>
    <xf numFmtId="0" fontId="8" fillId="0" borderId="63" xfId="0" applyFont="1" applyBorder="1" applyAlignment="1">
      <alignment vertical="center"/>
    </xf>
    <xf numFmtId="0" fontId="2" fillId="0" borderId="0" xfId="0" applyFont="1" applyAlignment="1">
      <alignment horizontal="right" vertical="center"/>
    </xf>
    <xf numFmtId="41" fontId="9" fillId="2" borderId="0" xfId="1" applyFont="1" applyFill="1" applyAlignment="1">
      <alignment horizontal="center"/>
    </xf>
    <xf numFmtId="41" fontId="10" fillId="2" borderId="0" xfId="1" applyFont="1" applyFill="1" applyAlignment="1">
      <alignment horizont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7" xfId="0" applyNumberFormat="1" applyFont="1" applyBorder="1" applyAlignment="1">
      <alignment horizontal="center" vertical="center"/>
    </xf>
    <xf numFmtId="0" fontId="5" fillId="5" borderId="13" xfId="0" applyNumberFormat="1" applyFont="1" applyFill="1" applyBorder="1" applyAlignment="1">
      <alignment horizontal="center" vertical="center" wrapText="1" shrinkToFit="1"/>
    </xf>
    <xf numFmtId="0" fontId="5" fillId="5" borderId="14" xfId="0" applyNumberFormat="1" applyFont="1" applyFill="1" applyBorder="1" applyAlignment="1">
      <alignment horizontal="center" vertical="center" shrinkToFit="1"/>
    </xf>
    <xf numFmtId="0" fontId="5" fillId="5" borderId="15" xfId="0" applyNumberFormat="1" applyFont="1" applyFill="1" applyBorder="1" applyAlignment="1">
      <alignment horizontal="center" vertical="center" shrinkToFit="1"/>
    </xf>
    <xf numFmtId="0" fontId="5" fillId="5" borderId="16" xfId="0" applyNumberFormat="1" applyFont="1" applyFill="1" applyBorder="1" applyAlignment="1">
      <alignment horizontal="center" vertical="center" wrapText="1" shrinkToFit="1"/>
    </xf>
    <xf numFmtId="0" fontId="5" fillId="5" borderId="17" xfId="0" applyNumberFormat="1" applyFont="1" applyFill="1" applyBorder="1" applyAlignment="1">
      <alignment horizontal="center" vertical="center" shrinkToFit="1"/>
    </xf>
    <xf numFmtId="0" fontId="5" fillId="5" borderId="18" xfId="0" applyNumberFormat="1" applyFont="1" applyFill="1" applyBorder="1" applyAlignment="1">
      <alignment horizontal="center" vertical="center" shrinkToFit="1"/>
    </xf>
    <xf numFmtId="0" fontId="5" fillId="5" borderId="16" xfId="0" applyNumberFormat="1" applyFont="1" applyFill="1" applyBorder="1" applyAlignment="1">
      <alignment horizontal="center" vertical="center" shrinkToFit="1"/>
    </xf>
    <xf numFmtId="188" fontId="5" fillId="0" borderId="0" xfId="1" applyNumberFormat="1" applyFont="1" applyAlignment="1">
      <alignment vertical="center" shrinkToFit="1"/>
    </xf>
    <xf numFmtId="0" fontId="5" fillId="11" borderId="21" xfId="0" applyNumberFormat="1" applyFont="1" applyFill="1" applyBorder="1" applyAlignment="1">
      <alignment horizontal="center" vertical="center" shrinkToFit="1"/>
    </xf>
    <xf numFmtId="0" fontId="5" fillId="11" borderId="12" xfId="0" applyNumberFormat="1" applyFont="1" applyFill="1" applyBorder="1" applyAlignment="1">
      <alignment horizontal="center" vertical="center" shrinkToFit="1"/>
    </xf>
    <xf numFmtId="0" fontId="5" fillId="45" borderId="55" xfId="0" applyNumberFormat="1" applyFont="1" applyFill="1" applyBorder="1" applyAlignment="1">
      <alignment horizontal="center" vertical="center" wrapText="1"/>
    </xf>
    <xf numFmtId="0" fontId="5" fillId="45" borderId="57" xfId="0" applyNumberFormat="1" applyFont="1" applyFill="1" applyBorder="1" applyAlignment="1">
      <alignment horizontal="center" vertical="center" wrapText="1"/>
    </xf>
    <xf numFmtId="0" fontId="18" fillId="11" borderId="25" xfId="0" applyFont="1" applyFill="1" applyBorder="1" applyAlignment="1">
      <alignment horizontal="center" vertical="center" shrinkToFit="1"/>
    </xf>
    <xf numFmtId="0" fontId="18" fillId="11" borderId="26" xfId="0" applyFont="1" applyFill="1" applyBorder="1" applyAlignment="1">
      <alignment horizontal="center" vertical="center" shrinkToFit="1"/>
    </xf>
    <xf numFmtId="0" fontId="5" fillId="9" borderId="21" xfId="1" applyNumberFormat="1" applyFont="1" applyFill="1" applyBorder="1" applyAlignment="1">
      <alignment horizontal="center" vertical="center" wrapText="1" shrinkToFit="1"/>
    </xf>
    <xf numFmtId="0" fontId="5" fillId="9" borderId="12" xfId="1" applyNumberFormat="1" applyFont="1" applyFill="1" applyBorder="1" applyAlignment="1">
      <alignment horizontal="center" vertical="center" wrapText="1" shrinkToFit="1"/>
    </xf>
    <xf numFmtId="0" fontId="5" fillId="5" borderId="21" xfId="0" applyNumberFormat="1" applyFont="1" applyFill="1" applyBorder="1" applyAlignment="1">
      <alignment horizontal="center" vertical="center" wrapText="1" shrinkToFit="1"/>
    </xf>
    <xf numFmtId="0" fontId="5" fillId="5" borderId="12" xfId="0" applyNumberFormat="1" applyFont="1" applyFill="1" applyBorder="1" applyAlignment="1">
      <alignment horizontal="center" vertical="center" wrapText="1" shrinkToFit="1"/>
    </xf>
    <xf numFmtId="0" fontId="5" fillId="44" borderId="54" xfId="0" applyNumberFormat="1" applyFont="1" applyFill="1" applyBorder="1" applyAlignment="1">
      <alignment horizontal="center" vertical="center"/>
    </xf>
    <xf numFmtId="0" fontId="5" fillId="44" borderId="56" xfId="0" applyNumberFormat="1" applyFont="1" applyFill="1" applyBorder="1" applyAlignment="1">
      <alignment horizontal="center" vertical="center"/>
    </xf>
    <xf numFmtId="0" fontId="5" fillId="44" borderId="21" xfId="0" applyNumberFormat="1" applyFont="1" applyFill="1" applyBorder="1" applyAlignment="1">
      <alignment horizontal="center" vertical="center" shrinkToFit="1"/>
    </xf>
    <xf numFmtId="0" fontId="5" fillId="44" borderId="12" xfId="0" applyNumberFormat="1" applyFont="1" applyFill="1" applyBorder="1" applyAlignment="1">
      <alignment horizontal="center" vertical="center" shrinkToFit="1"/>
    </xf>
    <xf numFmtId="0" fontId="5" fillId="9" borderId="21" xfId="1" applyNumberFormat="1" applyFont="1" applyFill="1" applyBorder="1" applyAlignment="1">
      <alignment horizontal="center" vertical="center" shrinkToFit="1"/>
    </xf>
    <xf numFmtId="0" fontId="5" fillId="9" borderId="12" xfId="1" applyNumberFormat="1" applyFont="1" applyFill="1" applyBorder="1" applyAlignment="1">
      <alignment horizontal="center" vertical="center" shrinkToFit="1"/>
    </xf>
    <xf numFmtId="0" fontId="5" fillId="9" borderId="21" xfId="0" applyNumberFormat="1" applyFont="1" applyFill="1" applyBorder="1" applyAlignment="1">
      <alignment horizontal="center" vertical="center" wrapText="1" shrinkToFit="1"/>
    </xf>
    <xf numFmtId="0" fontId="5" fillId="9" borderId="12" xfId="0" applyNumberFormat="1" applyFont="1" applyFill="1" applyBorder="1" applyAlignment="1">
      <alignment horizontal="center" vertical="center" wrapText="1" shrinkToFit="1"/>
    </xf>
    <xf numFmtId="0" fontId="5" fillId="43" borderId="21" xfId="0" applyNumberFormat="1" applyFont="1" applyFill="1" applyBorder="1" applyAlignment="1">
      <alignment horizontal="center" vertical="center" shrinkToFit="1"/>
    </xf>
    <xf numFmtId="0" fontId="5" fillId="43" borderId="12" xfId="0" applyNumberFormat="1" applyFont="1" applyFill="1" applyBorder="1" applyAlignment="1">
      <alignment horizontal="center" vertical="center" shrinkToFit="1"/>
    </xf>
    <xf numFmtId="0" fontId="5" fillId="5" borderId="21" xfId="0" applyNumberFormat="1" applyFont="1" applyFill="1" applyBorder="1" applyAlignment="1">
      <alignment horizontal="center" vertical="center" shrinkToFit="1"/>
    </xf>
    <xf numFmtId="0" fontId="5" fillId="5" borderId="12" xfId="0" applyNumberFormat="1" applyFont="1" applyFill="1" applyBorder="1" applyAlignment="1">
      <alignment horizontal="center" vertical="center" shrinkToFit="1"/>
    </xf>
    <xf numFmtId="0" fontId="66" fillId="0" borderId="20" xfId="84" applyFont="1" applyBorder="1" applyAlignment="1">
      <alignment horizontal="center" vertical="center" wrapText="1"/>
    </xf>
    <xf numFmtId="0" fontId="66" fillId="0" borderId="24" xfId="84" applyFont="1" applyBorder="1" applyAlignment="1">
      <alignment horizontal="center" vertical="center" wrapText="1"/>
    </xf>
    <xf numFmtId="0" fontId="68" fillId="0" borderId="52" xfId="84" applyFont="1" applyBorder="1" applyAlignment="1">
      <alignment horizontal="center" vertical="center" textRotation="255"/>
    </xf>
    <xf numFmtId="0" fontId="68" fillId="0" borderId="53" xfId="84" applyFont="1" applyBorder="1" applyAlignment="1">
      <alignment horizontal="center" vertical="center" textRotation="255"/>
    </xf>
    <xf numFmtId="0" fontId="64" fillId="4" borderId="25" xfId="84" applyFont="1" applyFill="1" applyBorder="1" applyAlignment="1">
      <alignment horizontal="center" vertical="center"/>
    </xf>
    <xf numFmtId="0" fontId="64" fillId="4" borderId="26" xfId="84" applyFont="1" applyFill="1" applyBorder="1" applyAlignment="1">
      <alignment horizontal="center" vertical="center"/>
    </xf>
    <xf numFmtId="0" fontId="64" fillId="0" borderId="10" xfId="84" applyFont="1" applyBorder="1" applyAlignment="1">
      <alignment horizontal="center" vertical="center" wrapText="1"/>
    </xf>
    <xf numFmtId="0" fontId="64" fillId="0" borderId="22" xfId="84" applyFont="1" applyBorder="1" applyAlignment="1">
      <alignment horizontal="center" vertical="center" wrapText="1"/>
    </xf>
    <xf numFmtId="0" fontId="64" fillId="0" borderId="11" xfId="84" applyFont="1" applyBorder="1" applyAlignment="1">
      <alignment horizontal="center" vertical="center"/>
    </xf>
    <xf numFmtId="0" fontId="64" fillId="0" borderId="1" xfId="84" applyFont="1" applyBorder="1" applyAlignment="1">
      <alignment horizontal="center" vertical="center"/>
    </xf>
    <xf numFmtId="0" fontId="65" fillId="42" borderId="11" xfId="84" applyFont="1" applyFill="1" applyBorder="1" applyAlignment="1">
      <alignment horizontal="center" vertical="center"/>
    </xf>
    <xf numFmtId="0" fontId="65" fillId="7" borderId="11" xfId="84" applyFont="1" applyFill="1" applyBorder="1" applyAlignment="1">
      <alignment horizontal="center" vertical="center"/>
    </xf>
    <xf numFmtId="0" fontId="91" fillId="46" borderId="0" xfId="0" applyFont="1" applyFill="1" applyBorder="1" applyAlignment="1">
      <alignment horizontal="center" vertical="center"/>
    </xf>
    <xf numFmtId="197" fontId="18" fillId="0" borderId="75" xfId="0" applyNumberFormat="1" applyFont="1" applyBorder="1" applyAlignment="1">
      <alignment horizontal="center" vertical="center"/>
    </xf>
    <xf numFmtId="197" fontId="18" fillId="0" borderId="77" xfId="0" applyNumberFormat="1" applyFont="1" applyBorder="1" applyAlignment="1">
      <alignment horizontal="center" vertical="center"/>
    </xf>
    <xf numFmtId="0" fontId="18" fillId="0" borderId="73" xfId="0" applyFont="1" applyBorder="1" applyAlignment="1">
      <alignment horizontal="center" vertical="center"/>
    </xf>
    <xf numFmtId="0" fontId="18" fillId="0" borderId="75" xfId="0" applyFont="1" applyBorder="1" applyAlignment="1">
      <alignment horizontal="center" vertical="center"/>
    </xf>
    <xf numFmtId="0" fontId="18" fillId="0" borderId="77" xfId="0" applyFont="1" applyBorder="1" applyAlignment="1">
      <alignment horizontal="center" vertical="center"/>
    </xf>
    <xf numFmtId="0" fontId="18" fillId="0" borderId="75" xfId="0" applyFont="1" applyBorder="1" applyAlignment="1">
      <alignment horizontal="distributed" vertical="center" indent="2"/>
    </xf>
    <xf numFmtId="0" fontId="18" fillId="0" borderId="77" xfId="0" applyFont="1" applyBorder="1" applyAlignment="1">
      <alignment horizontal="distributed" vertical="center" indent="2"/>
    </xf>
    <xf numFmtId="0" fontId="83" fillId="2" borderId="73" xfId="0" applyFont="1" applyFill="1" applyBorder="1" applyAlignment="1">
      <alignment horizontal="center" vertical="center"/>
    </xf>
    <xf numFmtId="0" fontId="76" fillId="0" borderId="73" xfId="0" applyFont="1" applyBorder="1" applyAlignment="1">
      <alignment horizontal="center" vertical="center"/>
    </xf>
    <xf numFmtId="0" fontId="76" fillId="0" borderId="75" xfId="0" applyFont="1" applyBorder="1" applyAlignment="1">
      <alignment horizontal="center" vertical="center"/>
    </xf>
    <xf numFmtId="0" fontId="76" fillId="0" borderId="77" xfId="0" applyFont="1" applyBorder="1" applyAlignment="1">
      <alignment horizontal="center" vertical="center"/>
    </xf>
    <xf numFmtId="0" fontId="18" fillId="0" borderId="76"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4" xfId="0" applyFont="1" applyBorder="1" applyAlignment="1">
      <alignment horizontal="center" vertical="center"/>
    </xf>
    <xf numFmtId="0" fontId="18" fillId="0" borderId="33"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98" fontId="18" fillId="0" borderId="73" xfId="0" applyNumberFormat="1" applyFont="1" applyBorder="1" applyAlignment="1">
      <alignment horizontal="center" vertical="center"/>
    </xf>
    <xf numFmtId="0" fontId="18" fillId="2" borderId="75" xfId="0" applyFont="1" applyFill="1" applyBorder="1" applyAlignment="1">
      <alignment horizontal="center" vertical="center"/>
    </xf>
    <xf numFmtId="0" fontId="18" fillId="2" borderId="77" xfId="0" applyFont="1" applyFill="1" applyBorder="1" applyAlignment="1">
      <alignment horizontal="center" vertical="center"/>
    </xf>
    <xf numFmtId="0" fontId="18" fillId="46" borderId="75" xfId="0" applyFont="1" applyFill="1" applyBorder="1" applyAlignment="1">
      <alignment horizontal="center" vertical="center"/>
    </xf>
    <xf numFmtId="0" fontId="18" fillId="46" borderId="77" xfId="0" applyFont="1" applyFill="1" applyBorder="1" applyAlignment="1">
      <alignment horizontal="center" vertical="center"/>
    </xf>
    <xf numFmtId="0" fontId="76" fillId="2" borderId="73" xfId="0" applyFont="1" applyFill="1" applyBorder="1" applyAlignment="1">
      <alignment horizontal="center" vertical="center"/>
    </xf>
    <xf numFmtId="0" fontId="18" fillId="46" borderId="75" xfId="0" applyFont="1" applyFill="1" applyBorder="1" applyAlignment="1">
      <alignment horizontal="distributed" vertical="center" indent="2"/>
    </xf>
    <xf numFmtId="0" fontId="18" fillId="46" borderId="77" xfId="0" applyFont="1" applyFill="1" applyBorder="1" applyAlignment="1">
      <alignment horizontal="distributed" vertical="center" indent="2"/>
    </xf>
    <xf numFmtId="0" fontId="18" fillId="46" borderId="76" xfId="0" applyFont="1" applyFill="1" applyBorder="1" applyAlignment="1">
      <alignment horizontal="center" vertical="center"/>
    </xf>
    <xf numFmtId="197" fontId="18" fillId="0" borderId="14" xfId="0" applyNumberFormat="1" applyFont="1" applyBorder="1" applyAlignment="1">
      <alignment horizontal="left" vertical="center" shrinkToFit="1"/>
    </xf>
    <xf numFmtId="0" fontId="18" fillId="0" borderId="73" xfId="0" applyFont="1" applyBorder="1" applyAlignment="1">
      <alignment horizontal="distributed" vertical="center" indent="2"/>
    </xf>
    <xf numFmtId="0" fontId="18" fillId="0" borderId="75"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77" xfId="0" applyFont="1" applyBorder="1" applyAlignment="1">
      <alignment horizontal="center" vertical="center" shrinkToFit="1"/>
    </xf>
    <xf numFmtId="0" fontId="18" fillId="0" borderId="71" xfId="0" applyFont="1" applyBorder="1" applyAlignment="1">
      <alignment horizontal="distributed" vertical="center" indent="2"/>
    </xf>
    <xf numFmtId="0" fontId="18" fillId="0" borderId="72" xfId="0" applyFont="1" applyBorder="1" applyAlignment="1">
      <alignment horizontal="distributed" vertical="center" indent="2"/>
    </xf>
    <xf numFmtId="0" fontId="18" fillId="0" borderId="13" xfId="0" applyFont="1" applyBorder="1" applyAlignment="1">
      <alignment horizontal="distributed" vertical="center" indent="2"/>
    </xf>
    <xf numFmtId="0" fontId="18" fillId="0" borderId="15" xfId="0" applyFont="1" applyBorder="1" applyAlignment="1">
      <alignment horizontal="distributed" vertical="center" indent="2"/>
    </xf>
    <xf numFmtId="0" fontId="5" fillId="5" borderId="73" xfId="0" applyNumberFormat="1" applyFont="1" applyFill="1" applyBorder="1" applyAlignment="1">
      <alignment horizontal="center" vertical="center" wrapText="1" shrinkToFit="1"/>
    </xf>
    <xf numFmtId="0" fontId="5" fillId="5" borderId="73" xfId="0" applyNumberFormat="1" applyFont="1" applyFill="1" applyBorder="1" applyAlignment="1">
      <alignment horizontal="center" vertical="center" shrinkToFit="1"/>
    </xf>
    <xf numFmtId="0" fontId="26" fillId="0" borderId="0" xfId="0" applyFont="1" applyAlignment="1">
      <alignment horizontal="left" vertical="center" wrapText="1"/>
    </xf>
    <xf numFmtId="0" fontId="93"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81"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3" xfId="0" applyFont="1" applyBorder="1" applyAlignment="1">
      <alignment horizontal="center" vertical="center" wrapText="1"/>
    </xf>
    <xf numFmtId="0" fontId="26" fillId="0" borderId="96" xfId="0" applyFont="1" applyBorder="1" applyAlignment="1">
      <alignment horizontal="center" vertical="center" wrapText="1"/>
    </xf>
    <xf numFmtId="38" fontId="26" fillId="0" borderId="97" xfId="0" applyNumberFormat="1" applyFont="1" applyBorder="1" applyAlignment="1">
      <alignment horizontal="center" vertical="center" shrinkToFit="1"/>
    </xf>
    <xf numFmtId="38" fontId="26" fillId="0" borderId="98" xfId="0" applyNumberFormat="1" applyFont="1" applyBorder="1" applyAlignment="1">
      <alignment horizontal="center" vertical="center" shrinkToFit="1"/>
    </xf>
    <xf numFmtId="38" fontId="26" fillId="0" borderId="99" xfId="0" applyNumberFormat="1" applyFont="1" applyBorder="1" applyAlignment="1">
      <alignment horizontal="center" vertical="center" shrinkToFit="1"/>
    </xf>
    <xf numFmtId="38" fontId="26" fillId="0" borderId="97" xfId="0" applyNumberFormat="1" applyFont="1" applyBorder="1" applyAlignment="1">
      <alignment horizontal="right" vertical="center" indent="2" shrinkToFit="1"/>
    </xf>
    <xf numFmtId="38" fontId="26" fillId="0" borderId="99" xfId="0" applyNumberFormat="1" applyFont="1" applyBorder="1" applyAlignment="1">
      <alignment horizontal="right" vertical="center" indent="2" shrinkToFit="1"/>
    </xf>
    <xf numFmtId="38" fontId="26" fillId="0" borderId="98" xfId="0" applyNumberFormat="1" applyFont="1" applyBorder="1" applyAlignment="1">
      <alignment horizontal="right" vertical="center" indent="2" shrinkToFit="1"/>
    </xf>
    <xf numFmtId="0" fontId="26" fillId="0" borderId="85" xfId="0" applyNumberFormat="1" applyFont="1" applyBorder="1" applyAlignment="1">
      <alignment horizontal="center" vertical="center" shrinkToFit="1"/>
    </xf>
    <xf numFmtId="0" fontId="26" fillId="0" borderId="86" xfId="0" applyNumberFormat="1" applyFont="1" applyBorder="1" applyAlignment="1">
      <alignment horizontal="center" vertical="center" shrinkToFit="1"/>
    </xf>
    <xf numFmtId="0" fontId="26" fillId="0" borderId="87" xfId="0" applyNumberFormat="1" applyFont="1" applyBorder="1" applyAlignment="1">
      <alignment horizontal="center" vertical="center" shrinkToFit="1"/>
    </xf>
    <xf numFmtId="0" fontId="26" fillId="0" borderId="88" xfId="0" applyNumberFormat="1" applyFont="1" applyBorder="1" applyAlignment="1">
      <alignment horizontal="center" vertical="center" shrinkToFit="1"/>
    </xf>
    <xf numFmtId="177" fontId="26" fillId="0" borderId="89" xfId="0" applyNumberFormat="1" applyFont="1" applyBorder="1" applyAlignment="1">
      <alignment horizontal="center" vertical="center" shrinkToFit="1"/>
    </xf>
    <xf numFmtId="177" fontId="26" fillId="0" borderId="86" xfId="0" applyNumberFormat="1" applyFont="1" applyBorder="1" applyAlignment="1">
      <alignment horizontal="center" vertical="center" shrinkToFit="1"/>
    </xf>
    <xf numFmtId="177" fontId="26" fillId="0" borderId="90" xfId="0" applyNumberFormat="1" applyFont="1" applyBorder="1" applyAlignment="1">
      <alignment horizontal="center" vertical="center" shrinkToFit="1"/>
    </xf>
    <xf numFmtId="177" fontId="26" fillId="0" borderId="88" xfId="0" applyNumberFormat="1" applyFont="1" applyBorder="1" applyAlignment="1">
      <alignment horizontal="center" vertical="center" shrinkToFit="1"/>
    </xf>
    <xf numFmtId="0" fontId="26" fillId="0" borderId="89" xfId="0" applyNumberFormat="1" applyFont="1" applyBorder="1" applyAlignment="1">
      <alignment horizontal="center" vertical="center" shrinkToFit="1"/>
    </xf>
    <xf numFmtId="0" fontId="26" fillId="0" borderId="90" xfId="0" applyNumberFormat="1" applyFont="1" applyBorder="1" applyAlignment="1">
      <alignment horizontal="center" vertical="center" shrinkToFit="1"/>
    </xf>
    <xf numFmtId="0" fontId="26" fillId="0" borderId="91" xfId="0" applyNumberFormat="1" applyFont="1" applyBorder="1" applyAlignment="1">
      <alignment horizontal="center" vertical="center" shrinkToFit="1"/>
    </xf>
    <xf numFmtId="0" fontId="26" fillId="0" borderId="92" xfId="0" applyNumberFormat="1" applyFont="1" applyBorder="1" applyAlignment="1">
      <alignment horizontal="center" vertical="center" shrinkToFit="1"/>
    </xf>
    <xf numFmtId="0" fontId="26" fillId="0" borderId="97" xfId="0" applyFont="1" applyBorder="1" applyAlignment="1">
      <alignment horizontal="center" vertical="center" shrinkToFit="1"/>
    </xf>
    <xf numFmtId="0" fontId="26" fillId="0" borderId="100" xfId="0" applyFont="1" applyBorder="1" applyAlignment="1">
      <alignment horizontal="center" vertical="center" shrinkToFit="1"/>
    </xf>
    <xf numFmtId="0" fontId="26" fillId="0" borderId="104" xfId="0" applyFont="1" applyBorder="1" applyAlignment="1">
      <alignment horizontal="center" vertical="center" wrapText="1"/>
    </xf>
    <xf numFmtId="0" fontId="26" fillId="0" borderId="105" xfId="0" applyFont="1" applyBorder="1" applyAlignment="1">
      <alignment horizontal="center" vertical="center" wrapText="1"/>
    </xf>
    <xf numFmtId="0" fontId="26" fillId="0" borderId="106" xfId="0" applyFont="1" applyBorder="1" applyAlignment="1">
      <alignment horizontal="center" vertical="center" wrapText="1"/>
    </xf>
    <xf numFmtId="0" fontId="26" fillId="0" borderId="107" xfId="0" applyFont="1" applyBorder="1" applyAlignment="1">
      <alignment horizontal="center" vertical="center" wrapText="1"/>
    </xf>
    <xf numFmtId="0" fontId="26" fillId="0" borderId="108"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110"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111"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86" xfId="0" applyFont="1" applyBorder="1" applyAlignment="1">
      <alignment horizontal="center" vertical="center" wrapText="1"/>
    </xf>
    <xf numFmtId="38" fontId="26" fillId="0" borderId="67" xfId="0" applyNumberFormat="1" applyFont="1" applyBorder="1" applyAlignment="1">
      <alignment vertical="center" shrinkToFit="1"/>
    </xf>
    <xf numFmtId="38" fontId="26" fillId="0" borderId="93" xfId="0" applyNumberFormat="1" applyFont="1" applyBorder="1" applyAlignment="1">
      <alignment vertical="center" shrinkToFit="1"/>
    </xf>
    <xf numFmtId="38" fontId="26" fillId="0" borderId="121" xfId="0" applyNumberFormat="1" applyFont="1" applyBorder="1" applyAlignment="1">
      <alignment vertical="center" shrinkToFit="1"/>
    </xf>
    <xf numFmtId="38" fontId="26" fillId="0" borderId="122" xfId="0" applyNumberFormat="1" applyFont="1" applyBorder="1" applyAlignment="1">
      <alignment vertical="center" shrinkToFit="1"/>
    </xf>
    <xf numFmtId="0" fontId="94" fillId="0" borderId="79" xfId="0" applyFont="1" applyBorder="1" applyAlignment="1">
      <alignment vertical="center" wrapText="1"/>
    </xf>
    <xf numFmtId="0" fontId="64" fillId="0" borderId="1" xfId="84" applyFont="1" applyBorder="1" applyAlignment="1">
      <alignment horizontal="center" vertical="center" wrapText="1"/>
    </xf>
    <xf numFmtId="0" fontId="65" fillId="42" borderId="1" xfId="84" applyFont="1" applyFill="1" applyBorder="1" applyAlignment="1">
      <alignment horizontal="center" vertical="center"/>
    </xf>
    <xf numFmtId="0" fontId="65" fillId="7" borderId="1" xfId="84" applyFont="1" applyFill="1" applyBorder="1" applyAlignment="1">
      <alignment horizontal="center" vertical="center"/>
    </xf>
    <xf numFmtId="0" fontId="76" fillId="43" borderId="5" xfId="0" applyFont="1" applyFill="1" applyBorder="1" applyAlignment="1">
      <alignment horizontal="center" vertical="center" shrinkToFit="1"/>
    </xf>
    <xf numFmtId="0" fontId="76" fillId="43" borderId="7" xfId="0" applyFont="1" applyFill="1" applyBorder="1" applyAlignment="1">
      <alignment horizontal="center" vertical="center" shrinkToFit="1"/>
    </xf>
    <xf numFmtId="0" fontId="83" fillId="11" borderId="73" xfId="0" applyFont="1" applyFill="1" applyBorder="1" applyAlignment="1">
      <alignment horizontal="center" vertical="center"/>
    </xf>
    <xf numFmtId="0" fontId="12" fillId="46" borderId="0" xfId="0" applyFont="1" applyFill="1" applyBorder="1" applyAlignment="1">
      <alignment horizontal="center" vertical="center"/>
    </xf>
  </cellXfs>
  <cellStyles count="87">
    <cellStyle name="20% - 강조색1 2" xfId="3"/>
    <cellStyle name="20% - 강조색2 2" xfId="4"/>
    <cellStyle name="20% - 강조색3 2" xfId="5"/>
    <cellStyle name="20% - 강조색4 2" xfId="6"/>
    <cellStyle name="20% - 강조색5 2" xfId="7"/>
    <cellStyle name="20% - 강조색6 2" xfId="8"/>
    <cellStyle name="40% - 강조색1 2" xfId="9"/>
    <cellStyle name="40% - 강조색2 2" xfId="10"/>
    <cellStyle name="40% - 강조색3 2" xfId="11"/>
    <cellStyle name="40% - 강조색4 2" xfId="12"/>
    <cellStyle name="40% - 강조색5 2" xfId="13"/>
    <cellStyle name="40% - 강조색6 2" xfId="14"/>
    <cellStyle name="60% - 강조색1 2" xfId="15"/>
    <cellStyle name="60% - 강조색2 2" xfId="16"/>
    <cellStyle name="60% - 강조색3 2" xfId="17"/>
    <cellStyle name="60% - 강조색4 2" xfId="18"/>
    <cellStyle name="60% - 강조색5 2" xfId="19"/>
    <cellStyle name="60% - 강조색6 2" xfId="20"/>
    <cellStyle name="강조색1 2" xfId="21"/>
    <cellStyle name="강조색2 2" xfId="22"/>
    <cellStyle name="강조색3 2" xfId="23"/>
    <cellStyle name="강조색4 2" xfId="24"/>
    <cellStyle name="강조색5 2" xfId="25"/>
    <cellStyle name="강조색6 2" xfId="26"/>
    <cellStyle name="경고문 2" xfId="27"/>
    <cellStyle name="계산 2" xfId="28"/>
    <cellStyle name="나쁨 2" xfId="29"/>
    <cellStyle name="메모 2" xfId="30"/>
    <cellStyle name="백분율 2" xfId="31"/>
    <cellStyle name="보통 2" xfId="32"/>
    <cellStyle name="설명 텍스트 2" xfId="33"/>
    <cellStyle name="셀 확인 2" xfId="34"/>
    <cellStyle name="쉼표 [0]" xfId="1" builtinId="6"/>
    <cellStyle name="쉼표 [0] 2" xfId="35"/>
    <cellStyle name="쉼표 [0] 2 2" xfId="36"/>
    <cellStyle name="쉼표 [0] 2 3" xfId="37"/>
    <cellStyle name="쉼표 [0] 2 4" xfId="38"/>
    <cellStyle name="쉼표 [0] 3" xfId="39"/>
    <cellStyle name="쉼표 [0] 3 2" xfId="40"/>
    <cellStyle name="쉼표 [0] 4" xfId="41"/>
    <cellStyle name="쉼표 [0] 5" xfId="42"/>
    <cellStyle name="연결된 셀 2" xfId="43"/>
    <cellStyle name="요약 2" xfId="44"/>
    <cellStyle name="입력 2" xfId="45"/>
    <cellStyle name="제목 1 2" xfId="46"/>
    <cellStyle name="제목 2 2" xfId="47"/>
    <cellStyle name="제목 3 2" xfId="48"/>
    <cellStyle name="제목 4 2" xfId="49"/>
    <cellStyle name="제목 5" xfId="50"/>
    <cellStyle name="좋음 2" xfId="51"/>
    <cellStyle name="출력 2" xfId="52"/>
    <cellStyle name="통화 [0] 2" xfId="53"/>
    <cellStyle name="통화 [0] 3" xfId="54"/>
    <cellStyle name="표준" xfId="0" builtinId="0"/>
    <cellStyle name="표준 10" xfId="55"/>
    <cellStyle name="표준 11" xfId="56"/>
    <cellStyle name="표준 12" xfId="2"/>
    <cellStyle name="표준 13" xfId="57"/>
    <cellStyle name="표준 14" xfId="58"/>
    <cellStyle name="표준 15" xfId="59"/>
    <cellStyle name="표준 16" xfId="60"/>
    <cellStyle name="표준 17" xfId="61"/>
    <cellStyle name="표준 18" xfId="62"/>
    <cellStyle name="표준 19" xfId="63"/>
    <cellStyle name="표준 2" xfId="64"/>
    <cellStyle name="표준 2 2" xfId="65"/>
    <cellStyle name="표준 2 3" xfId="66"/>
    <cellStyle name="표준 20" xfId="67"/>
    <cellStyle name="표준 21" xfId="68"/>
    <cellStyle name="표준 22" xfId="69"/>
    <cellStyle name="표준 23" xfId="70"/>
    <cellStyle name="표준 24" xfId="71"/>
    <cellStyle name="표준 25" xfId="72"/>
    <cellStyle name="표준 26" xfId="73"/>
    <cellStyle name="표준 27" xfId="74"/>
    <cellStyle name="표준 28" xfId="75"/>
    <cellStyle name="표준 3" xfId="76"/>
    <cellStyle name="표준 4" xfId="77"/>
    <cellStyle name="표준 4 2" xfId="78"/>
    <cellStyle name="표준 5" xfId="79"/>
    <cellStyle name="표준 5 2" xfId="80"/>
    <cellStyle name="표준 6" xfId="81"/>
    <cellStyle name="표준 6 2" xfId="82"/>
    <cellStyle name="표준 7" xfId="83"/>
    <cellStyle name="표준 7 2" xfId="84"/>
    <cellStyle name="표준 8" xfId="85"/>
    <cellStyle name="표준 9" xfId="86"/>
  </cellStyles>
  <dxfs count="1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FF"/>
      <color rgb="FFCCECFF"/>
      <color rgb="FFD8E4B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48</xdr:col>
      <xdr:colOff>328083</xdr:colOff>
      <xdr:row>27</xdr:row>
      <xdr:rowOff>105833</xdr:rowOff>
    </xdr:from>
    <xdr:to>
      <xdr:col>54</xdr:col>
      <xdr:colOff>497417</xdr:colOff>
      <xdr:row>31</xdr:row>
      <xdr:rowOff>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9226933" y="8668808"/>
          <a:ext cx="4036484" cy="50376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ko-KR" altLang="en-US" sz="900">
              <a:latin typeface="굴림" panose="020B0600000101010101" pitchFamily="50" charset="-127"/>
              <a:ea typeface="굴림" panose="020B0600000101010101" pitchFamily="50" charset="-127"/>
            </a:rPr>
            <a:t>일할계산 수당</a:t>
          </a:r>
          <a:endParaRPr lang="en-US" altLang="ko-KR" sz="900">
            <a:latin typeface="굴림" panose="020B0600000101010101" pitchFamily="50" charset="-127"/>
            <a:ea typeface="굴림" panose="020B0600000101010101" pitchFamily="50" charset="-127"/>
          </a:endParaRPr>
        </a:p>
        <a:p>
          <a:r>
            <a:rPr lang="en-US" altLang="ko-KR" sz="900">
              <a:latin typeface="굴림" panose="020B0600000101010101" pitchFamily="50" charset="-127"/>
              <a:ea typeface="굴림" panose="020B0600000101010101" pitchFamily="50" charset="-127"/>
            </a:rPr>
            <a:t>(2017</a:t>
          </a:r>
          <a:r>
            <a:rPr lang="ko-KR" altLang="en-US" sz="900">
              <a:latin typeface="굴림" panose="020B0600000101010101" pitchFamily="50" charset="-127"/>
              <a:ea typeface="굴림" panose="020B0600000101010101" pitchFamily="50" charset="-127"/>
            </a:rPr>
            <a:t>학년도 교육실무직원 고용안정 및 처우개선</a:t>
          </a:r>
          <a:r>
            <a:rPr lang="en-US" altLang="ko-KR" sz="900">
              <a:latin typeface="굴림" panose="020B0600000101010101" pitchFamily="50" charset="-127"/>
              <a:ea typeface="굴림" panose="020B0600000101010101" pitchFamily="50" charset="-127"/>
            </a:rPr>
            <a:t>, 2017</a:t>
          </a:r>
          <a:r>
            <a:rPr lang="ko-KR" altLang="en-US" sz="900">
              <a:latin typeface="굴림" panose="020B0600000101010101" pitchFamily="50" charset="-127"/>
              <a:ea typeface="굴림" panose="020B0600000101010101" pitchFamily="50" charset="-127"/>
            </a:rPr>
            <a:t>년 </a:t>
          </a:r>
          <a:r>
            <a:rPr lang="en-US" altLang="ko-KR" sz="900">
              <a:latin typeface="굴림" panose="020B0600000101010101" pitchFamily="50" charset="-127"/>
              <a:ea typeface="굴림" panose="020B0600000101010101" pitchFamily="50" charset="-127"/>
            </a:rPr>
            <a:t>2</a:t>
          </a:r>
          <a:r>
            <a:rPr lang="ko-KR" altLang="en-US" sz="900">
              <a:latin typeface="굴림" panose="020B0600000101010101" pitchFamily="50" charset="-127"/>
              <a:ea typeface="굴림" panose="020B0600000101010101" pitchFamily="50" charset="-127"/>
            </a:rPr>
            <a:t>월</a:t>
          </a:r>
          <a:r>
            <a:rPr lang="en-US" altLang="ko-KR" sz="900">
              <a:latin typeface="굴림" panose="020B0600000101010101" pitchFamily="50" charset="-127"/>
              <a:ea typeface="굴림" panose="020B0600000101010101" pitchFamily="50" charset="-127"/>
            </a:rPr>
            <a:t>)</a:t>
          </a:r>
        </a:p>
        <a:p>
          <a:r>
            <a:rPr lang="ko-KR" altLang="en-US" sz="900">
              <a:latin typeface="굴림" panose="020B0600000101010101" pitchFamily="50" charset="-127"/>
              <a:ea typeface="굴림" panose="020B0600000101010101" pitchFamily="50" charset="-127"/>
            </a:rPr>
            <a:t>정액급식비 </a:t>
          </a:r>
          <a:r>
            <a:rPr lang="en-US" altLang="ko-KR" sz="900">
              <a:latin typeface="굴림" panose="020B0600000101010101" pitchFamily="50" charset="-127"/>
              <a:ea typeface="굴림" panose="020B0600000101010101" pitchFamily="50" charset="-127"/>
            </a:rPr>
            <a:t>8</a:t>
          </a:r>
          <a:r>
            <a:rPr lang="ko-KR" altLang="en-US" sz="900">
              <a:latin typeface="굴림" panose="020B0600000101010101" pitchFamily="50" charset="-127"/>
              <a:ea typeface="굴림" panose="020B0600000101010101" pitchFamily="50" charset="-127"/>
            </a:rPr>
            <a:t>만원</a:t>
          </a:r>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교통보조비 </a:t>
          </a:r>
          <a:r>
            <a:rPr lang="en-US" altLang="ko-KR" sz="900">
              <a:latin typeface="굴림" panose="020B0600000101010101" pitchFamily="50" charset="-127"/>
              <a:ea typeface="굴림" panose="020B0600000101010101" pitchFamily="50" charset="-127"/>
            </a:rPr>
            <a:t>6</a:t>
          </a:r>
          <a:r>
            <a:rPr lang="ko-KR" altLang="en-US" sz="900">
              <a:latin typeface="굴림" panose="020B0600000101010101" pitchFamily="50" charset="-127"/>
              <a:ea typeface="굴림" panose="020B0600000101010101" pitchFamily="50" charset="-127"/>
            </a:rPr>
            <a:t>만원</a:t>
          </a:r>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위험근무수당 </a:t>
          </a:r>
          <a:r>
            <a:rPr lang="en-US" altLang="ko-KR" sz="900">
              <a:latin typeface="굴림" panose="020B0600000101010101" pitchFamily="50" charset="-127"/>
              <a:ea typeface="굴림" panose="020B0600000101010101" pitchFamily="50" charset="-127"/>
            </a:rPr>
            <a:t>5</a:t>
          </a:r>
          <a:r>
            <a:rPr lang="ko-KR" altLang="en-US" sz="900">
              <a:latin typeface="굴림" panose="020B0600000101010101" pitchFamily="50" charset="-127"/>
              <a:ea typeface="굴림" panose="020B0600000101010101" pitchFamily="50" charset="-127"/>
            </a:rPr>
            <a:t>만원</a:t>
          </a:r>
          <a:endParaRPr lang="en-US" altLang="ko-KR" sz="900">
            <a:latin typeface="굴림" panose="020B0600000101010101" pitchFamily="50" charset="-127"/>
            <a:ea typeface="굴림" panose="020B0600000101010101" pitchFamily="50" charset="-127"/>
          </a:endParaRPr>
        </a:p>
        <a:p>
          <a:r>
            <a:rPr lang="ko-KR" altLang="en-US" sz="900">
              <a:latin typeface="굴림" panose="020B0600000101010101" pitchFamily="50" charset="-127"/>
              <a:ea typeface="굴림" panose="020B0600000101010101" pitchFamily="50" charset="-127"/>
            </a:rPr>
            <a:t>재량휴업일</a:t>
          </a:r>
          <a:r>
            <a:rPr lang="en-US" altLang="ko-KR" sz="900">
              <a:latin typeface="굴림" panose="020B0600000101010101" pitchFamily="50" charset="-127"/>
              <a:ea typeface="굴림" panose="020B0600000101010101" pitchFamily="50" charset="-127"/>
            </a:rPr>
            <a:t>(</a:t>
          </a:r>
          <a:r>
            <a:rPr lang="ko-KR" altLang="en-US" sz="900">
              <a:latin typeface="굴림" panose="020B0600000101010101" pitchFamily="50" charset="-127"/>
              <a:ea typeface="굴림" panose="020B0600000101010101" pitchFamily="50" charset="-127"/>
            </a:rPr>
            <a:t>개교기념일 포함</a:t>
          </a:r>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중 연간 </a:t>
          </a:r>
          <a:r>
            <a:rPr lang="en-US" altLang="ko-KR" sz="900">
              <a:latin typeface="굴림" panose="020B0600000101010101" pitchFamily="50" charset="-127"/>
              <a:ea typeface="굴림" panose="020B0600000101010101" pitchFamily="50" charset="-127"/>
            </a:rPr>
            <a:t>3</a:t>
          </a:r>
          <a:r>
            <a:rPr lang="ko-KR" altLang="en-US" sz="900">
              <a:latin typeface="굴림" panose="020B0600000101010101" pitchFamily="50" charset="-127"/>
              <a:ea typeface="굴림" panose="020B0600000101010101" pitchFamily="50" charset="-127"/>
            </a:rPr>
            <a:t>일 이내의 재량휴업일은 유급휴일임</a:t>
          </a:r>
          <a:endParaRPr lang="en-US" altLang="ko-KR" sz="900">
            <a:latin typeface="굴림" panose="020B0600000101010101" pitchFamily="50" charset="-127"/>
            <a:ea typeface="굴림" panose="020B0600000101010101" pitchFamily="50" charset="-127"/>
          </a:endParaRPr>
        </a:p>
        <a:p>
          <a:endParaRPr lang="en-US" altLang="ko-KR" sz="900">
            <a:latin typeface="굴림" panose="020B0600000101010101" pitchFamily="50" charset="-127"/>
            <a:ea typeface="굴림" panose="020B0600000101010101" pitchFamily="50" charset="-127"/>
          </a:endParaRPr>
        </a:p>
        <a:p>
          <a:r>
            <a:rPr lang="ko-KR" altLang="en-US" sz="900">
              <a:latin typeface="굴림" panose="020B0600000101010101" pitchFamily="50" charset="-127"/>
              <a:ea typeface="굴림" panose="020B0600000101010101" pitchFamily="50" charset="-127"/>
            </a:rPr>
            <a:t>전액지급 수당</a:t>
          </a:r>
          <a:endParaRPr lang="en-US" altLang="ko-KR" sz="900">
            <a:latin typeface="굴림" panose="020B0600000101010101" pitchFamily="50" charset="-127"/>
            <a:ea typeface="굴림" panose="020B0600000101010101" pitchFamily="50" charset="-127"/>
          </a:endParaRPr>
        </a:p>
        <a:p>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영양사 면허수당</a:t>
          </a:r>
          <a:r>
            <a:rPr lang="en-US" altLang="ko-KR" sz="900">
              <a:latin typeface="굴림" panose="020B0600000101010101" pitchFamily="50" charset="-127"/>
              <a:ea typeface="굴림" panose="020B0600000101010101" pitchFamily="50" charset="-127"/>
            </a:rPr>
            <a:t>(83,500</a:t>
          </a:r>
          <a:r>
            <a:rPr lang="ko-KR" altLang="en-US" sz="900">
              <a:latin typeface="굴림" panose="020B0600000101010101" pitchFamily="50" charset="-127"/>
              <a:ea typeface="굴림" panose="020B0600000101010101" pitchFamily="50" charset="-127"/>
            </a:rPr>
            <a:t>원</a:t>
          </a:r>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조리사 기술정보수당 </a:t>
          </a:r>
          <a:r>
            <a:rPr lang="en-US" altLang="ko-KR" sz="900">
              <a:latin typeface="굴림" panose="020B0600000101010101" pitchFamily="50" charset="-127"/>
              <a:ea typeface="굴림" panose="020B0600000101010101" pitchFamily="50" charset="-127"/>
            </a:rPr>
            <a:t>2</a:t>
          </a:r>
          <a:r>
            <a:rPr lang="ko-KR" altLang="en-US" sz="900">
              <a:latin typeface="굴림" panose="020B0600000101010101" pitchFamily="50" charset="-127"/>
              <a:ea typeface="굴림" panose="020B0600000101010101" pitchFamily="50" charset="-127"/>
            </a:rPr>
            <a:t>만원</a:t>
          </a:r>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사서 특수업무수당 </a:t>
          </a:r>
          <a:r>
            <a:rPr lang="en-US" altLang="ko-KR" sz="900">
              <a:latin typeface="굴림" panose="020B0600000101010101" pitchFamily="50" charset="-127"/>
              <a:ea typeface="굴림" panose="020B0600000101010101" pitchFamily="50" charset="-127"/>
            </a:rPr>
            <a:t>2</a:t>
          </a:r>
          <a:r>
            <a:rPr lang="ko-KR" altLang="en-US" sz="900">
              <a:latin typeface="굴림" panose="020B0600000101010101" pitchFamily="50" charset="-127"/>
              <a:ea typeface="굴림" panose="020B0600000101010101" pitchFamily="50" charset="-127"/>
            </a:rPr>
            <a:t>만원</a:t>
          </a:r>
          <a:r>
            <a:rPr lang="en-US" altLang="ko-KR" sz="900">
              <a:latin typeface="굴림" panose="020B0600000101010101" pitchFamily="50" charset="-127"/>
              <a:ea typeface="굴림" panose="020B0600000101010101" pitchFamily="50" charset="-127"/>
            </a:rPr>
            <a:t>, </a:t>
          </a:r>
          <a:r>
            <a:rPr lang="ko-KR" altLang="en-US" sz="900">
              <a:latin typeface="굴림" panose="020B0600000101010101" pitchFamily="50" charset="-127"/>
              <a:ea typeface="굴림" panose="020B0600000101010101" pitchFamily="50" charset="-127"/>
            </a:rPr>
            <a:t>가족수당</a:t>
          </a:r>
        </a:p>
      </xdr:txBody>
    </xdr:sp>
    <xdr:clientData/>
  </xdr:twoCellAnchor>
  <xdr:twoCellAnchor editAs="oneCell">
    <xdr:from>
      <xdr:col>69</xdr:col>
      <xdr:colOff>211667</xdr:colOff>
      <xdr:row>20</xdr:row>
      <xdr:rowOff>156634</xdr:rowOff>
    </xdr:from>
    <xdr:to>
      <xdr:col>74</xdr:col>
      <xdr:colOff>573617</xdr:colOff>
      <xdr:row>74</xdr:row>
      <xdr:rowOff>127001</xdr:rowOff>
    </xdr:to>
    <xdr:pic>
      <xdr:nvPicPr>
        <xdr:cNvPr id="4" name="그림 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7447" t="13998" r="38477" b="1054"/>
        <a:stretch>
          <a:fillRect/>
        </a:stretch>
      </xdr:blipFill>
      <xdr:spPr bwMode="auto">
        <a:xfrm>
          <a:off x="43000084" y="7215717"/>
          <a:ext cx="4404783" cy="8415867"/>
        </a:xfrm>
        <a:prstGeom prst="rect">
          <a:avLst/>
        </a:prstGeom>
        <a:noFill/>
        <a:ln w="19050">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39</xdr:col>
      <xdr:colOff>219075</xdr:colOff>
      <xdr:row>21</xdr:row>
      <xdr:rowOff>57150</xdr:rowOff>
    </xdr:from>
    <xdr:to>
      <xdr:col>48</xdr:col>
      <xdr:colOff>190500</xdr:colOff>
      <xdr:row>35</xdr:row>
      <xdr:rowOff>28575</xdr:rowOff>
    </xdr:to>
    <xdr:grpSp>
      <xdr:nvGrpSpPr>
        <xdr:cNvPr id="6" name="그룹 4">
          <a:extLst>
            <a:ext uri="{FF2B5EF4-FFF2-40B4-BE49-F238E27FC236}">
              <a16:creationId xmlns:a16="http://schemas.microsoft.com/office/drawing/2014/main" id="{00000000-0008-0000-0400-000006000000}"/>
            </a:ext>
          </a:extLst>
        </xdr:cNvPr>
        <xdr:cNvGrpSpPr>
          <a:grpSpLocks/>
        </xdr:cNvGrpSpPr>
      </xdr:nvGrpSpPr>
      <xdr:grpSpPr bwMode="auto">
        <a:xfrm>
          <a:off x="23576492" y="6978650"/>
          <a:ext cx="5866341" cy="2289175"/>
          <a:chOff x="23254766" y="8614835"/>
          <a:chExt cx="5866341" cy="2500841"/>
        </a:xfrm>
      </xdr:grpSpPr>
      <xdr:pic>
        <xdr:nvPicPr>
          <xdr:cNvPr id="7" name="그림 4">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54766" y="8614835"/>
            <a:ext cx="5866341" cy="2500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모서리가 둥근 직사각형 7">
            <a:extLst>
              <a:ext uri="{FF2B5EF4-FFF2-40B4-BE49-F238E27FC236}">
                <a16:creationId xmlns:a16="http://schemas.microsoft.com/office/drawing/2014/main" id="{00000000-0008-0000-0400-000008000000}"/>
              </a:ext>
            </a:extLst>
          </xdr:cNvPr>
          <xdr:cNvSpPr/>
        </xdr:nvSpPr>
        <xdr:spPr>
          <a:xfrm>
            <a:off x="25597493" y="9025421"/>
            <a:ext cx="1323736" cy="821172"/>
          </a:xfrm>
          <a:prstGeom prst="roundRect">
            <a:avLst/>
          </a:prstGeom>
          <a:solidFill>
            <a:schemeClr val="accent6">
              <a:lumMod val="20000"/>
              <a:lumOff val="8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lnSpc>
                <a:spcPts val="1000"/>
              </a:lnSpc>
            </a:pPr>
            <a:r>
              <a:rPr lang="ko-KR" altLang="ko-KR" sz="900">
                <a:solidFill>
                  <a:sysClr val="windowText" lastClr="000000"/>
                </a:solidFill>
                <a:latin typeface="굴림" panose="020B0600000101010101" pitchFamily="50" charset="-127"/>
                <a:ea typeface="굴림" panose="020B0600000101010101" pitchFamily="50" charset="-127"/>
                <a:cs typeface="+mn-cs"/>
              </a:rPr>
              <a:t>파업참가는 기본급</a:t>
            </a:r>
            <a:r>
              <a:rPr lang="en-US" altLang="ko-KR" sz="900">
                <a:solidFill>
                  <a:sysClr val="windowText" lastClr="000000"/>
                </a:solidFill>
                <a:latin typeface="굴림" panose="020B0600000101010101" pitchFamily="50" charset="-127"/>
                <a:ea typeface="굴림" panose="020B0600000101010101" pitchFamily="50" charset="-127"/>
                <a:cs typeface="+mn-cs"/>
              </a:rPr>
              <a:t>,</a:t>
            </a:r>
          </a:p>
          <a:p>
            <a:pPr marL="0" indent="0" algn="l">
              <a:lnSpc>
                <a:spcPts val="1000"/>
              </a:lnSpc>
            </a:pPr>
            <a:r>
              <a:rPr lang="ko-KR" altLang="ko-KR" sz="900">
                <a:solidFill>
                  <a:sysClr val="windowText" lastClr="000000"/>
                </a:solidFill>
                <a:latin typeface="굴림" panose="020B0600000101010101" pitchFamily="50" charset="-127"/>
                <a:ea typeface="굴림" panose="020B0600000101010101" pitchFamily="50" charset="-127"/>
                <a:cs typeface="+mn-cs"/>
              </a:rPr>
              <a:t>가족</a:t>
            </a:r>
            <a:r>
              <a:rPr lang="en-US" altLang="ko-KR" sz="900">
                <a:solidFill>
                  <a:sysClr val="windowText" lastClr="000000"/>
                </a:solidFill>
                <a:latin typeface="굴림" panose="020B0600000101010101" pitchFamily="50" charset="-127"/>
                <a:ea typeface="굴림" panose="020B0600000101010101" pitchFamily="50" charset="-127"/>
                <a:cs typeface="+mn-cs"/>
              </a:rPr>
              <a:t>,</a:t>
            </a:r>
            <a:r>
              <a:rPr lang="ko-KR" altLang="ko-KR" sz="900">
                <a:solidFill>
                  <a:sysClr val="windowText" lastClr="000000"/>
                </a:solidFill>
                <a:latin typeface="굴림" panose="020B0600000101010101" pitchFamily="50" charset="-127"/>
                <a:ea typeface="굴림" panose="020B0600000101010101" pitchFamily="50" charset="-127"/>
                <a:cs typeface="+mn-cs"/>
              </a:rPr>
              <a:t>근속 등</a:t>
            </a:r>
            <a:endParaRPr lang="en-US" altLang="ko-KR" sz="900">
              <a:solidFill>
                <a:sysClr val="windowText" lastClr="000000"/>
              </a:solidFill>
              <a:latin typeface="굴림" panose="020B0600000101010101" pitchFamily="50" charset="-127"/>
              <a:ea typeface="굴림" panose="020B0600000101010101" pitchFamily="50" charset="-127"/>
              <a:cs typeface="+mn-cs"/>
            </a:endParaRPr>
          </a:p>
          <a:p>
            <a:pPr marL="0" indent="0" algn="l">
              <a:lnSpc>
                <a:spcPts val="1100"/>
              </a:lnSpc>
            </a:pPr>
            <a:r>
              <a:rPr lang="ko-KR" altLang="ko-KR" sz="900">
                <a:solidFill>
                  <a:sysClr val="windowText" lastClr="000000"/>
                </a:solidFill>
                <a:latin typeface="굴림" panose="020B0600000101010101" pitchFamily="50" charset="-127"/>
                <a:ea typeface="굴림" panose="020B0600000101010101" pitchFamily="50" charset="-127"/>
                <a:cs typeface="+mn-cs"/>
              </a:rPr>
              <a:t>모든 수당 일할감액</a:t>
            </a:r>
          </a:p>
          <a:p>
            <a:pPr marL="0" indent="0" algn="l">
              <a:lnSpc>
                <a:spcPts val="1000"/>
              </a:lnSpc>
            </a:pPr>
            <a:r>
              <a:rPr lang="en-US" altLang="ko-KR" sz="900">
                <a:solidFill>
                  <a:sysClr val="windowText" lastClr="000000"/>
                </a:solidFill>
                <a:latin typeface="굴림" panose="020B0600000101010101" pitchFamily="50" charset="-127"/>
                <a:ea typeface="굴림" panose="020B0600000101010101" pitchFamily="50" charset="-127"/>
                <a:cs typeface="+mn-cs"/>
              </a:rPr>
              <a:t>(</a:t>
            </a:r>
            <a:r>
              <a:rPr lang="ko-KR" altLang="ko-KR" sz="900">
                <a:solidFill>
                  <a:sysClr val="windowText" lastClr="000000"/>
                </a:solidFill>
                <a:latin typeface="굴림" panose="020B0600000101010101" pitchFamily="50" charset="-127"/>
                <a:ea typeface="굴림" panose="020B0600000101010101" pitchFamily="50" charset="-127"/>
                <a:cs typeface="+mn-cs"/>
              </a:rPr>
              <a:t>상여금은 제외</a:t>
            </a:r>
            <a:r>
              <a:rPr lang="en-US" altLang="ko-KR" sz="900">
                <a:solidFill>
                  <a:sysClr val="windowText" lastClr="000000"/>
                </a:solidFill>
                <a:latin typeface="굴림" panose="020B0600000101010101" pitchFamily="50" charset="-127"/>
                <a:ea typeface="굴림" panose="020B0600000101010101" pitchFamily="50" charset="-127"/>
                <a:cs typeface="+mn-cs"/>
              </a:rPr>
              <a:t>)</a:t>
            </a:r>
            <a:endParaRPr lang="ko-KR" altLang="en-US" sz="900">
              <a:solidFill>
                <a:sysClr val="windowText" lastClr="000000"/>
              </a:solidFill>
              <a:latin typeface="굴림" panose="020B0600000101010101" pitchFamily="50" charset="-127"/>
              <a:ea typeface="굴림" panose="020B0600000101010101" pitchFamily="50" charset="-127"/>
              <a:cs typeface="+mn-cs"/>
            </a:endParaRPr>
          </a:p>
        </xdr:txBody>
      </xdr:sp>
    </xdr:grpSp>
    <xdr:clientData/>
  </xdr:twoCellAnchor>
  <xdr:twoCellAnchor>
    <xdr:from>
      <xdr:col>34</xdr:col>
      <xdr:colOff>514350</xdr:colOff>
      <xdr:row>37</xdr:row>
      <xdr:rowOff>19050</xdr:rowOff>
    </xdr:from>
    <xdr:to>
      <xdr:col>43</xdr:col>
      <xdr:colOff>400050</xdr:colOff>
      <xdr:row>88</xdr:row>
      <xdr:rowOff>76200</xdr:rowOff>
    </xdr:to>
    <xdr:grpSp>
      <xdr:nvGrpSpPr>
        <xdr:cNvPr id="9" name="그룹 8">
          <a:extLst>
            <a:ext uri="{FF2B5EF4-FFF2-40B4-BE49-F238E27FC236}">
              <a16:creationId xmlns:a16="http://schemas.microsoft.com/office/drawing/2014/main" id="{00000000-0008-0000-0400-000009000000}"/>
            </a:ext>
          </a:extLst>
        </xdr:cNvPr>
        <xdr:cNvGrpSpPr>
          <a:grpSpLocks/>
        </xdr:cNvGrpSpPr>
      </xdr:nvGrpSpPr>
      <xdr:grpSpPr bwMode="auto">
        <a:xfrm>
          <a:off x="20792017" y="9628717"/>
          <a:ext cx="5590116" cy="7984066"/>
          <a:chOff x="20574000" y="12647084"/>
          <a:chExt cx="5588000" cy="7979834"/>
        </a:xfrm>
      </xdr:grpSpPr>
      <xdr:pic>
        <xdr:nvPicPr>
          <xdr:cNvPr id="10" name="그림 5">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14758" t="17310" r="54681" b="7253"/>
          <a:stretch>
            <a:fillRect/>
          </a:stretch>
        </xdr:blipFill>
        <xdr:spPr bwMode="auto">
          <a:xfrm>
            <a:off x="20574000" y="13155084"/>
            <a:ext cx="5588000" cy="7471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20602510" y="12647084"/>
            <a:ext cx="5350415" cy="586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ko-KR" altLang="en-US" sz="1100">
                <a:solidFill>
                  <a:schemeClr val="dk1"/>
                </a:solidFill>
                <a:effectLst/>
                <a:latin typeface="+mn-lt"/>
                <a:ea typeface="+mn-ea"/>
                <a:cs typeface="+mn-cs"/>
              </a:rPr>
              <a:t>교육복지과</a:t>
            </a:r>
            <a:r>
              <a:rPr lang="en-US" altLang="ko-KR" sz="1100">
                <a:solidFill>
                  <a:schemeClr val="dk1"/>
                </a:solidFill>
                <a:effectLst/>
                <a:latin typeface="+mn-lt"/>
                <a:ea typeface="+mn-ea"/>
                <a:cs typeface="+mn-cs"/>
              </a:rPr>
              <a:t>-5054(2020. 3. 3.)</a:t>
            </a:r>
          </a:p>
          <a:p>
            <a:pPr marL="0" marR="0" lvl="0" indent="0" defTabSz="914400" eaLnBrk="1" fontAlgn="auto" latinLnBrk="0" hangingPunct="1">
              <a:lnSpc>
                <a:spcPct val="100000"/>
              </a:lnSpc>
              <a:spcBef>
                <a:spcPts val="0"/>
              </a:spcBef>
              <a:spcAft>
                <a:spcPts val="0"/>
              </a:spcAft>
              <a:buClrTx/>
              <a:buSzTx/>
              <a:buFontTx/>
              <a:buNone/>
              <a:tabLst/>
              <a:defRPr/>
            </a:pPr>
            <a:r>
              <a:rPr lang="en-US" altLang="ko-KR" sz="1100">
                <a:solidFill>
                  <a:schemeClr val="dk1"/>
                </a:solidFill>
                <a:effectLst/>
                <a:latin typeface="+mn-lt"/>
                <a:ea typeface="+mn-ea"/>
                <a:cs typeface="+mn-cs"/>
              </a:rPr>
              <a:t>2020</a:t>
            </a:r>
            <a:r>
              <a:rPr lang="ko-KR" altLang="en-US" sz="1100">
                <a:solidFill>
                  <a:schemeClr val="dk1"/>
                </a:solidFill>
                <a:effectLst/>
                <a:latin typeface="+mn-lt"/>
                <a:ea typeface="+mn-ea"/>
                <a:cs typeface="+mn-cs"/>
              </a:rPr>
              <a:t>년 학교기본운영비 추가지원사업비</a:t>
            </a:r>
            <a:r>
              <a:rPr lang="en-US" altLang="ko-KR" sz="1100">
                <a:solidFill>
                  <a:schemeClr val="dk1"/>
                </a:solidFill>
                <a:effectLst/>
                <a:latin typeface="+mn-lt"/>
                <a:ea typeface="+mn-ea"/>
                <a:cs typeface="+mn-cs"/>
              </a:rPr>
              <a:t>(</a:t>
            </a:r>
            <a:r>
              <a:rPr lang="ko-KR" altLang="en-US" sz="1100">
                <a:solidFill>
                  <a:schemeClr val="dk1"/>
                </a:solidFill>
                <a:effectLst/>
                <a:latin typeface="+mn-lt"/>
                <a:ea typeface="+mn-ea"/>
                <a:cs typeface="+mn-cs"/>
              </a:rPr>
              <a:t>돌봄전담사 인건비</a:t>
            </a:r>
            <a:r>
              <a:rPr lang="en-US" altLang="ko-KR" sz="1100">
                <a:solidFill>
                  <a:schemeClr val="dk1"/>
                </a:solidFill>
                <a:effectLst/>
                <a:latin typeface="+mn-lt"/>
                <a:ea typeface="+mn-ea"/>
                <a:cs typeface="+mn-cs"/>
              </a:rPr>
              <a:t>) </a:t>
            </a:r>
            <a:r>
              <a:rPr lang="ko-KR" altLang="en-US" sz="1100">
                <a:solidFill>
                  <a:schemeClr val="dk1"/>
                </a:solidFill>
                <a:effectLst/>
                <a:latin typeface="+mn-lt"/>
                <a:ea typeface="+mn-ea"/>
                <a:cs typeface="+mn-cs"/>
              </a:rPr>
              <a:t>편성자료 제출</a:t>
            </a:r>
          </a:p>
          <a:p>
            <a:pPr marL="0" marR="0" lvl="0" indent="0" defTabSz="914400" eaLnBrk="1" fontAlgn="auto" latinLnBrk="0" hangingPunct="1">
              <a:lnSpc>
                <a:spcPct val="100000"/>
              </a:lnSpc>
              <a:spcBef>
                <a:spcPts val="0"/>
              </a:spcBef>
              <a:spcAft>
                <a:spcPts val="0"/>
              </a:spcAft>
              <a:buClrTx/>
              <a:buSzTx/>
              <a:buFontTx/>
              <a:buNone/>
              <a:tabLst/>
              <a:defRPr/>
            </a:pPr>
            <a:endParaRPr lang="ko-KR" altLang="en-US" sz="1100">
              <a:solidFill>
                <a:schemeClr val="dk1"/>
              </a:solidFill>
              <a:effectLst/>
              <a:latin typeface="+mn-lt"/>
              <a:ea typeface="+mn-ea"/>
              <a:cs typeface="+mn-cs"/>
            </a:endParaRPr>
          </a:p>
          <a:p>
            <a:endParaRPr lang="ko-KR"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161926</xdr:colOff>
      <xdr:row>19</xdr:row>
      <xdr:rowOff>171451</xdr:rowOff>
    </xdr:from>
    <xdr:to>
      <xdr:col>10</xdr:col>
      <xdr:colOff>161925</xdr:colOff>
      <xdr:row>21</xdr:row>
      <xdr:rowOff>304800</xdr:rowOff>
    </xdr:to>
    <xdr:sp macro="" textlink="">
      <xdr:nvSpPr>
        <xdr:cNvPr id="2" name="모서리가 둥근 직사각형 1">
          <a:extLst>
            <a:ext uri="{FF2B5EF4-FFF2-40B4-BE49-F238E27FC236}">
              <a16:creationId xmlns:a16="http://schemas.microsoft.com/office/drawing/2014/main" id="{00000000-0008-0000-0200-000002000000}"/>
            </a:ext>
          </a:extLst>
        </xdr:cNvPr>
        <xdr:cNvSpPr/>
      </xdr:nvSpPr>
      <xdr:spPr>
        <a:xfrm>
          <a:off x="4933951" y="6667501"/>
          <a:ext cx="1714499" cy="70484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lnSpc>
              <a:spcPts val="1500"/>
            </a:lnSpc>
          </a:pPr>
          <a:r>
            <a:rPr lang="ko-KR" altLang="en-US" sz="1100">
              <a:latin typeface="굴림" pitchFamily="50" charset="-127"/>
              <a:ea typeface="굴림" pitchFamily="50" charset="-127"/>
            </a:rPr>
            <a:t>숫자 </a:t>
          </a:r>
          <a:r>
            <a:rPr lang="en-US" altLang="ko-KR" sz="1100">
              <a:latin typeface="굴림" pitchFamily="50" charset="-127"/>
              <a:ea typeface="굴림" pitchFamily="50" charset="-127"/>
            </a:rPr>
            <a:t>" </a:t>
          </a:r>
          <a:r>
            <a:rPr lang="en-US" altLang="ko-KR" sz="1200" b="1">
              <a:latin typeface="굴림" pitchFamily="50" charset="-127"/>
              <a:ea typeface="굴림" pitchFamily="50" charset="-127"/>
            </a:rPr>
            <a:t>2</a:t>
          </a:r>
          <a:r>
            <a:rPr lang="en-US" altLang="ko-KR" sz="1100">
              <a:latin typeface="굴림" pitchFamily="50" charset="-127"/>
              <a:ea typeface="굴림" pitchFamily="50" charset="-127"/>
            </a:rPr>
            <a:t> "</a:t>
          </a:r>
          <a:r>
            <a:rPr lang="ko-KR" altLang="en-US" sz="1100">
              <a:latin typeface="굴림" pitchFamily="50" charset="-127"/>
              <a:ea typeface="굴림" pitchFamily="50" charset="-127"/>
            </a:rPr>
            <a:t>가 있으면</a:t>
          </a:r>
        </a:p>
        <a:p>
          <a:pPr algn="ctr">
            <a:lnSpc>
              <a:spcPts val="1300"/>
            </a:lnSpc>
          </a:pPr>
          <a:r>
            <a:rPr lang="ko-KR" altLang="en-US" sz="1100">
              <a:latin typeface="굴림" pitchFamily="50" charset="-127"/>
              <a:ea typeface="굴림" pitchFamily="50" charset="-127"/>
            </a:rPr>
            <a:t>학교부담금임</a:t>
          </a:r>
        </a:p>
        <a:p>
          <a:pPr algn="ctr">
            <a:lnSpc>
              <a:spcPts val="1100"/>
            </a:lnSpc>
          </a:pPr>
          <a:r>
            <a:rPr lang="ko-KR" altLang="en-US" sz="1100">
              <a:latin typeface="굴림" pitchFamily="50" charset="-127"/>
              <a:ea typeface="굴림" pitchFamily="50" charset="-127"/>
            </a:rPr>
            <a:t>예</a:t>
          </a:r>
          <a:r>
            <a:rPr lang="en-US" altLang="ko-KR" sz="1100">
              <a:latin typeface="굴림" pitchFamily="50" charset="-127"/>
              <a:ea typeface="굴림" pitchFamily="50" charset="-127"/>
            </a:rPr>
            <a:t>) </a:t>
          </a:r>
          <a:r>
            <a:rPr lang="ko-KR" altLang="en-US" sz="1100">
              <a:latin typeface="굴림" pitchFamily="50" charset="-127"/>
              <a:ea typeface="굴림" pitchFamily="50" charset="-127"/>
            </a:rPr>
            <a:t>산재보험</a:t>
          </a:r>
          <a:r>
            <a:rPr lang="en-US" altLang="ko-KR" sz="1100">
              <a:latin typeface="굴림" pitchFamily="50" charset="-127"/>
              <a:ea typeface="굴림" pitchFamily="50" charset="-127"/>
            </a:rPr>
            <a:t>2</a:t>
          </a:r>
          <a:endParaRPr lang="ko-KR" altLang="en-US" sz="1100">
            <a:latin typeface="굴림" pitchFamily="50" charset="-127"/>
            <a:ea typeface="굴림" pitchFamily="50" charset="-127"/>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33</xdr:row>
      <xdr:rowOff>47625</xdr:rowOff>
    </xdr:from>
    <xdr:to>
      <xdr:col>12</xdr:col>
      <xdr:colOff>257175</xdr:colOff>
      <xdr:row>48</xdr:row>
      <xdr:rowOff>28575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7150" y="10458450"/>
          <a:ext cx="8353425" cy="2552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altLang="ko-KR" sz="900" b="1" i="0" u="none" strike="noStrike">
              <a:solidFill>
                <a:srgbClr val="0000FF"/>
              </a:solidFill>
              <a:effectLst/>
              <a:latin typeface="굴림" panose="020B0600000101010101" pitchFamily="50" charset="-127"/>
              <a:ea typeface="굴림" panose="020B0600000101010101" pitchFamily="50" charset="-127"/>
              <a:cs typeface="+mn-cs"/>
            </a:rPr>
            <a:t>2016</a:t>
          </a:r>
          <a:r>
            <a:rPr lang="ko-KR" altLang="en-US" sz="900" b="1" i="0" u="none" strike="noStrike">
              <a:solidFill>
                <a:srgbClr val="0000FF"/>
              </a:solidFill>
              <a:effectLst/>
              <a:latin typeface="굴림" panose="020B0600000101010101" pitchFamily="50" charset="-127"/>
              <a:ea typeface="굴림" panose="020B0600000101010101" pitchFamily="50" charset="-127"/>
              <a:cs typeface="+mn-cs"/>
            </a:rPr>
            <a:t>년 </a:t>
          </a:r>
          <a:r>
            <a:rPr lang="en-US" altLang="ko-KR" sz="900" b="1" i="0" u="none" strike="noStrike">
              <a:solidFill>
                <a:srgbClr val="0000FF"/>
              </a:solidFill>
              <a:effectLst/>
              <a:latin typeface="굴림" panose="020B0600000101010101" pitchFamily="50" charset="-127"/>
              <a:ea typeface="굴림" panose="020B0600000101010101" pitchFamily="50" charset="-127"/>
              <a:cs typeface="+mn-cs"/>
            </a:rPr>
            <a:t>6</a:t>
          </a:r>
          <a:r>
            <a:rPr lang="ko-KR" altLang="en-US" sz="900" b="1" i="0" u="none" strike="noStrike">
              <a:solidFill>
                <a:srgbClr val="0000FF"/>
              </a:solidFill>
              <a:effectLst/>
              <a:latin typeface="굴림" panose="020B0600000101010101" pitchFamily="50" charset="-127"/>
              <a:ea typeface="굴림" panose="020B0600000101010101" pitchFamily="50" charset="-127"/>
              <a:cs typeface="+mn-cs"/>
            </a:rPr>
            <a:t>월 처우개선 공문</a:t>
          </a:r>
          <a:r>
            <a:rPr lang="en-US" altLang="ko-KR" sz="900" b="1" i="0" u="none" strike="noStrike">
              <a:solidFill>
                <a:srgbClr val="0000FF"/>
              </a:solidFill>
              <a:effectLst/>
              <a:latin typeface="굴림" panose="020B0600000101010101" pitchFamily="50" charset="-127"/>
              <a:ea typeface="굴림" panose="020B0600000101010101" pitchFamily="50" charset="-127"/>
              <a:cs typeface="+mn-cs"/>
            </a:rPr>
            <a:t>(</a:t>
          </a:r>
          <a:r>
            <a:rPr lang="ko-KR" altLang="en-US" sz="900" b="1" i="0" u="none" strike="noStrike">
              <a:solidFill>
                <a:srgbClr val="0000FF"/>
              </a:solidFill>
              <a:effectLst/>
              <a:latin typeface="굴림" panose="020B0600000101010101" pitchFamily="50" charset="-127"/>
              <a:ea typeface="굴림" panose="020B0600000101010101" pitchFamily="50" charset="-127"/>
              <a:cs typeface="+mn-cs"/>
            </a:rPr>
            <a:t>학교지원과</a:t>
          </a:r>
          <a:r>
            <a:rPr lang="en-US" altLang="ko-KR" sz="900" b="1" i="0" u="none" strike="noStrike">
              <a:solidFill>
                <a:srgbClr val="0000FF"/>
              </a:solidFill>
              <a:effectLst/>
              <a:latin typeface="굴림" panose="020B0600000101010101" pitchFamily="50" charset="-127"/>
              <a:ea typeface="굴림" panose="020B0600000101010101" pitchFamily="50" charset="-127"/>
              <a:cs typeface="+mn-cs"/>
            </a:rPr>
            <a:t>-7247(16.06.28)</a:t>
          </a:r>
        </a:p>
        <a:p>
          <a:pPr>
            <a:lnSpc>
              <a:spcPts val="1100"/>
            </a:lnSpc>
          </a:pPr>
          <a:r>
            <a:rPr lang="ko-KR" altLang="en-US" sz="900" b="1" i="0" u="none" strike="noStrike">
              <a:solidFill>
                <a:schemeClr val="dk1"/>
              </a:solidFill>
              <a:effectLst/>
              <a:latin typeface="굴림" panose="020B0600000101010101" pitchFamily="50" charset="-127"/>
              <a:ea typeface="굴림" panose="020B0600000101010101" pitchFamily="50" charset="-127"/>
              <a:cs typeface="+mn-cs"/>
            </a:rPr>
            <a:t>통상임금</a:t>
          </a:r>
          <a:endParaRPr lang="en-US" altLang="ko-KR" sz="900" b="1"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기본급</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조리사 자격증 가산금 포함</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교통보조비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기술정보</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특수업무</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장기금무가산금</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위험근무</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관리</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정액급식비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영양사 면허가산수당</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적용대상</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연장</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야간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휴일 근로수당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미사용연차수당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출산전후휴가급여</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시간급</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월급여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243</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시간</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r>
            <a:rPr lang="ko-KR" altLang="en-US" sz="900" b="1" i="0" u="none" strike="noStrike">
              <a:solidFill>
                <a:schemeClr val="dk1"/>
              </a:solidFill>
              <a:effectLst/>
              <a:latin typeface="굴림" panose="020B0600000101010101" pitchFamily="50" charset="-127"/>
              <a:ea typeface="굴림" panose="020B0600000101010101" pitchFamily="50" charset="-127"/>
              <a:cs typeface="+mn-cs"/>
            </a:rPr>
            <a:t>평균임금</a:t>
          </a:r>
          <a:endParaRPr lang="en-US" altLang="ko-KR" sz="900" b="1" i="0" u="none" strike="noStrike">
            <a:solidFill>
              <a:schemeClr val="dk1"/>
            </a:solidFill>
            <a:effectLst/>
            <a:latin typeface="굴림" panose="020B0600000101010101" pitchFamily="50" charset="-127"/>
            <a:ea typeface="굴림" panose="020B0600000101010101" pitchFamily="50" charset="-127"/>
            <a:cs typeface="+mn-cs"/>
          </a:endParaRPr>
        </a:p>
        <a:p>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기본급</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조리사 자격증 가산금 포함</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교통보조비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기술정보</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특수업무</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위험근무</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관리</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장기근무가산금</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정액급식비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연장</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야간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휴일근로수당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영양사 면허가산수당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명절휴가보전금</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연차수당</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적용대상</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퇴직금</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휴업수당</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- 1</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일 평균임금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사유발생일 이전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3</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개월간의 임금총액</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사유발생일 이전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3</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개월간의 총일수</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 산출된 평균임금이 근로자의 통상임금보다 적으며 통상임금액을 평균임금으로 함</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p>
        <a:p>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pPr>
            <a:lnSpc>
              <a:spcPts val="1100"/>
            </a:lnSpc>
          </a:pPr>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방학중 비근무자에게 전액지급되는 수당은 처우개선차원에서 전액 지급되는 것으로 평균임금 산정시 일할 계산</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자녀학비보조수당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가족수당</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맞춤형복지비 등 기타 실비 변상적 금품은 제외</a:t>
          </a:r>
          <a:endParaRPr lang="en-US" altLang="ko-KR" sz="900" b="0" i="0" u="none" strike="noStrike">
            <a:solidFill>
              <a:schemeClr val="dk1"/>
            </a:solidFill>
            <a:effectLst/>
            <a:latin typeface="굴림" panose="020B0600000101010101" pitchFamily="50" charset="-127"/>
            <a:ea typeface="굴림" panose="020B0600000101010101" pitchFamily="50" charset="-127"/>
            <a:cs typeface="+mn-cs"/>
          </a:endParaRPr>
        </a:p>
        <a:p>
          <a:r>
            <a:rPr lang="ko-KR" altLang="en-US" sz="900">
              <a:latin typeface="굴림" panose="020B0600000101010101" pitchFamily="50" charset="-127"/>
              <a:ea typeface="굴림" panose="020B0600000101010101" pitchFamily="50" charset="-127"/>
            </a:rPr>
            <a:t>   ㅇ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243</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시간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월</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금</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(40</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시간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토</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(8</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시간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일</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(8</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시간</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a:t>
          </a:r>
        </a:p>
        <a:p>
          <a:pPr>
            <a:lnSpc>
              <a:spcPts val="1100"/>
            </a:lnSpc>
          </a:pPr>
          <a:r>
            <a:rPr lang="ko-KR" altLang="ko-KR" sz="900">
              <a:solidFill>
                <a:schemeClr val="dk1"/>
              </a:solidFill>
              <a:effectLst/>
              <a:latin typeface="굴림" panose="020B0600000101010101" pitchFamily="50" charset="-127"/>
              <a:ea typeface="굴림" panose="020B0600000101010101" pitchFamily="50" charset="-127"/>
              <a:cs typeface="+mn-cs"/>
            </a:rPr>
            <a:t>   ㅇ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4.3452</a:t>
          </a:r>
          <a:r>
            <a:rPr lang="ko-KR" altLang="en-US" sz="900">
              <a:latin typeface="굴림" panose="020B0600000101010101" pitchFamily="50" charset="-127"/>
              <a:ea typeface="굴림" panose="020B0600000101010101" pitchFamily="50" charset="-127"/>
            </a:rPr>
            <a:t>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4.3452= </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월평균주를 나타냄 </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 (52</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주</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+1</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일</a:t>
          </a:r>
          <a:r>
            <a:rPr lang="en-US" altLang="ko-KR" sz="900" b="0" i="0" u="none" strike="noStrike">
              <a:solidFill>
                <a:schemeClr val="dk1"/>
              </a:solidFill>
              <a:effectLst/>
              <a:latin typeface="굴림" panose="020B0600000101010101" pitchFamily="50" charset="-127"/>
              <a:ea typeface="굴림" panose="020B0600000101010101" pitchFamily="50" charset="-127"/>
              <a:cs typeface="+mn-cs"/>
            </a:rPr>
            <a:t>)/12</a:t>
          </a:r>
          <a:r>
            <a:rPr lang="ko-KR" altLang="en-US" sz="900" b="0" i="0" u="none" strike="noStrike">
              <a:solidFill>
                <a:schemeClr val="dk1"/>
              </a:solidFill>
              <a:effectLst/>
              <a:latin typeface="굴림" panose="020B0600000101010101" pitchFamily="50" charset="-127"/>
              <a:ea typeface="굴림" panose="020B0600000101010101" pitchFamily="50" charset="-127"/>
              <a:cs typeface="+mn-cs"/>
            </a:rPr>
            <a:t>월</a:t>
          </a:r>
          <a:r>
            <a:rPr lang="ko-KR" altLang="en-US" sz="900">
              <a:latin typeface="굴림" panose="020B0600000101010101" pitchFamily="50" charset="-127"/>
              <a:ea typeface="굴림" panose="020B0600000101010101" pitchFamily="50" charset="-127"/>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50980;&#51008;&#51648;\&#44368;&#50977;&#49892;&#47924;&#51649;\&#44553;&#50668;\&#45224;&#49328;&#52488;%206&#50900;%20&#44368;&#50977;&#44277;&#47924;&#51649;%20&#48372;&#54744;&#473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급여총괄"/>
      <sheetName val="4대보험료"/>
      <sheetName val="인건비2020"/>
      <sheetName val="입력"/>
      <sheetName val="명세서"/>
      <sheetName val="2021급여누적"/>
      <sheetName val="2021보험료누적"/>
      <sheetName val="2020통상임금"/>
      <sheetName val="단순노무"/>
      <sheetName val="Sheet1"/>
      <sheetName val="Sheet2"/>
      <sheetName val="Sheet3"/>
      <sheetName val="results"/>
      <sheetName val="2020보험료누적"/>
    </sheetNames>
    <sheetDataSet>
      <sheetData sheetId="0" refreshError="1"/>
      <sheetData sheetId="1" refreshError="1"/>
      <sheetData sheetId="2" refreshError="1"/>
      <sheetData sheetId="3" refreshError="1">
        <row r="2">
          <cell r="C2">
            <v>43999</v>
          </cell>
          <cell r="E2" t="str">
            <v>남산초등학교</v>
          </cell>
        </row>
        <row r="38">
          <cell r="Z38" t="str">
            <v>근속년수</v>
          </cell>
          <cell r="AA38" t="str">
            <v>2019.10부터</v>
          </cell>
          <cell r="AB38" t="str">
            <v>2020.3부터</v>
          </cell>
        </row>
        <row r="39">
          <cell r="Z39">
            <v>1</v>
          </cell>
          <cell r="AA39">
            <v>34000</v>
          </cell>
          <cell r="AB39">
            <v>35000</v>
          </cell>
        </row>
        <row r="40">
          <cell r="Z40">
            <v>2</v>
          </cell>
          <cell r="AA40">
            <v>68000</v>
          </cell>
          <cell r="AB40">
            <v>70000</v>
          </cell>
        </row>
        <row r="41">
          <cell r="Z41">
            <v>3</v>
          </cell>
          <cell r="AA41">
            <v>102000</v>
          </cell>
          <cell r="AB41">
            <v>105000</v>
          </cell>
        </row>
        <row r="42">
          <cell r="Z42">
            <v>4</v>
          </cell>
          <cell r="AA42">
            <v>136000</v>
          </cell>
          <cell r="AB42">
            <v>140000</v>
          </cell>
        </row>
        <row r="43">
          <cell r="Z43">
            <v>5</v>
          </cell>
          <cell r="AA43">
            <v>170000</v>
          </cell>
          <cell r="AB43">
            <v>175000</v>
          </cell>
        </row>
        <row r="44">
          <cell r="Z44">
            <v>6</v>
          </cell>
          <cell r="AA44">
            <v>204000</v>
          </cell>
          <cell r="AB44">
            <v>210000</v>
          </cell>
        </row>
        <row r="45">
          <cell r="Z45">
            <v>7</v>
          </cell>
          <cell r="AA45">
            <v>238000</v>
          </cell>
          <cell r="AB45">
            <v>245000</v>
          </cell>
        </row>
        <row r="46">
          <cell r="Z46">
            <v>8</v>
          </cell>
          <cell r="AA46">
            <v>272000</v>
          </cell>
          <cell r="AB46">
            <v>280000</v>
          </cell>
        </row>
        <row r="47">
          <cell r="Z47">
            <v>9</v>
          </cell>
          <cell r="AA47">
            <v>306000</v>
          </cell>
          <cell r="AB47">
            <v>315000</v>
          </cell>
        </row>
        <row r="48">
          <cell r="Z48">
            <v>10</v>
          </cell>
          <cell r="AA48">
            <v>340000</v>
          </cell>
          <cell r="AB48">
            <v>350000</v>
          </cell>
        </row>
        <row r="49">
          <cell r="Z49">
            <v>11</v>
          </cell>
          <cell r="AA49">
            <v>374000</v>
          </cell>
          <cell r="AB49">
            <v>385000</v>
          </cell>
        </row>
        <row r="50">
          <cell r="Z50">
            <v>12</v>
          </cell>
          <cell r="AA50">
            <v>408000</v>
          </cell>
          <cell r="AB50">
            <v>420000</v>
          </cell>
        </row>
        <row r="51">
          <cell r="Z51">
            <v>13</v>
          </cell>
          <cell r="AA51">
            <v>442000</v>
          </cell>
          <cell r="AB51">
            <v>455000</v>
          </cell>
        </row>
        <row r="52">
          <cell r="Z52">
            <v>14</v>
          </cell>
          <cell r="AA52">
            <v>476000</v>
          </cell>
          <cell r="AB52">
            <v>490000</v>
          </cell>
        </row>
        <row r="53">
          <cell r="Z53">
            <v>15</v>
          </cell>
          <cell r="AA53">
            <v>510000</v>
          </cell>
          <cell r="AB53">
            <v>525000</v>
          </cell>
        </row>
        <row r="54">
          <cell r="Z54">
            <v>16</v>
          </cell>
          <cell r="AA54">
            <v>544000</v>
          </cell>
          <cell r="AB54">
            <v>560000</v>
          </cell>
        </row>
        <row r="55">
          <cell r="Z55">
            <v>17</v>
          </cell>
          <cell r="AA55">
            <v>578000</v>
          </cell>
          <cell r="AB55">
            <v>595000</v>
          </cell>
        </row>
        <row r="56">
          <cell r="Z56">
            <v>18</v>
          </cell>
          <cell r="AA56">
            <v>612000</v>
          </cell>
          <cell r="AB56">
            <v>630000</v>
          </cell>
        </row>
        <row r="57">
          <cell r="Z57">
            <v>19</v>
          </cell>
          <cell r="AA57">
            <v>646000</v>
          </cell>
          <cell r="AB57">
            <v>665000</v>
          </cell>
        </row>
        <row r="58">
          <cell r="Z58">
            <v>20</v>
          </cell>
          <cell r="AA58">
            <v>680000</v>
          </cell>
          <cell r="AB58">
            <v>700000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sheetPr>
  <dimension ref="A1:CN133"/>
  <sheetViews>
    <sheetView showGridLines="0" showZeros="0" tabSelected="1" zoomScale="90" zoomScaleNormal="90" workbookViewId="0">
      <pane xSplit="3" ySplit="3" topLeftCell="D4" activePane="bottomRight" state="frozen"/>
      <selection activeCell="E51" sqref="E51"/>
      <selection pane="topRight" activeCell="E51" sqref="E51"/>
      <selection pane="bottomLeft" activeCell="E51" sqref="E51"/>
      <selection pane="bottomRight" activeCell="E2" sqref="E2"/>
    </sheetView>
  </sheetViews>
  <sheetFormatPr defaultRowHeight="13.5"/>
  <cols>
    <col min="1" max="1" width="3.6640625" style="4" customWidth="1"/>
    <col min="2" max="2" width="8.6640625" style="4" customWidth="1"/>
    <col min="3" max="3" width="13.33203125" style="4" customWidth="1"/>
    <col min="4" max="4" width="11.44140625" style="96" customWidth="1"/>
    <col min="5" max="5" width="18" style="4" customWidth="1"/>
    <col min="6" max="6" width="7" style="4" customWidth="1"/>
    <col min="7" max="7" width="4.77734375" style="4" customWidth="1"/>
    <col min="8" max="8" width="10.5546875" style="4" customWidth="1"/>
    <col min="9" max="10" width="8.6640625" style="4" customWidth="1"/>
    <col min="11" max="11" width="4.6640625" style="4" customWidth="1"/>
    <col min="12" max="13" width="4.33203125" style="4" customWidth="1"/>
    <col min="14" max="14" width="5" style="4" customWidth="1"/>
    <col min="15" max="19" width="4.33203125" style="4" customWidth="1"/>
    <col min="20" max="20" width="5" style="4" customWidth="1"/>
    <col min="21" max="23" width="4.33203125" style="4" customWidth="1"/>
    <col min="24" max="24" width="8.33203125" style="4" customWidth="1"/>
    <col min="25" max="25" width="4.77734375" style="4" customWidth="1"/>
    <col min="26" max="26" width="13.44140625" style="4" customWidth="1"/>
    <col min="27" max="27" width="9.33203125" style="4" customWidth="1"/>
    <col min="28" max="28" width="10.6640625" style="4" customWidth="1"/>
    <col min="29" max="29" width="9.33203125" style="4" customWidth="1"/>
    <col min="30" max="33" width="3.88671875" style="4" customWidth="1"/>
    <col min="34" max="34" width="11.77734375" style="4" customWidth="1"/>
    <col min="35" max="35" width="7.21875" style="4" customWidth="1"/>
    <col min="36" max="36" width="8.44140625" style="4" customWidth="1"/>
    <col min="37" max="38" width="6.44140625" style="4" customWidth="1"/>
    <col min="39" max="42" width="7.44140625" style="4" customWidth="1"/>
    <col min="43" max="43" width="8.33203125" style="16" customWidth="1"/>
    <col min="44" max="44" width="7.88671875" style="16" customWidth="1"/>
    <col min="45" max="45" width="7.21875" style="16" customWidth="1"/>
    <col min="46" max="49" width="7.6640625" style="16" customWidth="1"/>
    <col min="50" max="50" width="8.5546875" style="16" customWidth="1"/>
    <col min="51" max="51" width="7.6640625" style="16" customWidth="1"/>
    <col min="52" max="53" width="5.5546875" style="16" customWidth="1"/>
    <col min="54" max="54" width="10.109375" style="16" bestFit="1" customWidth="1"/>
    <col min="55" max="61" width="7.88671875" style="16" customWidth="1"/>
    <col min="62" max="65" width="7.88671875" style="4" customWidth="1"/>
    <col min="66" max="68" width="6.77734375" style="4" customWidth="1"/>
    <col min="69" max="69" width="9.21875" style="4" customWidth="1"/>
    <col min="70" max="70" width="10.6640625" style="4" customWidth="1"/>
    <col min="71" max="72" width="8.88671875" style="4" customWidth="1"/>
    <col min="73" max="73" width="9.88671875" style="4" customWidth="1"/>
    <col min="74" max="74" width="8.88671875" style="4" customWidth="1"/>
    <col min="75" max="83" width="7.88671875" style="4" customWidth="1"/>
    <col min="84" max="88" width="8.88671875" style="4"/>
    <col min="89" max="89" width="11" style="4" bestFit="1" customWidth="1"/>
    <col min="90" max="90" width="10.44140625" style="4" bestFit="1" customWidth="1"/>
    <col min="92" max="16384" width="8.88671875" style="4"/>
  </cols>
  <sheetData>
    <row r="1" spans="1:92" ht="34.5" customHeight="1" thickBot="1">
      <c r="A1" s="561">
        <v>2021</v>
      </c>
      <c r="B1" s="561"/>
      <c r="C1" s="1" t="s">
        <v>490</v>
      </c>
      <c r="D1" s="2"/>
      <c r="E1" s="3"/>
      <c r="F1" s="3"/>
      <c r="G1" s="3"/>
      <c r="I1" s="5">
        <f>DATE(A1,3,1)</f>
        <v>44256</v>
      </c>
      <c r="J1" s="6">
        <f>DATE(A1+1,2,20)</f>
        <v>44612</v>
      </c>
      <c r="M1" s="7" t="s">
        <v>0</v>
      </c>
      <c r="N1" s="3"/>
      <c r="O1" s="3"/>
      <c r="P1" s="3"/>
      <c r="Q1" s="3"/>
      <c r="R1" s="3"/>
      <c r="S1" s="3"/>
      <c r="T1" s="3"/>
      <c r="U1" s="3"/>
      <c r="V1" s="3"/>
      <c r="W1" s="3"/>
      <c r="X1" s="3"/>
      <c r="Y1" s="3"/>
      <c r="Z1" s="8"/>
      <c r="AA1" s="9"/>
      <c r="AB1" s="3"/>
      <c r="AD1" s="3"/>
      <c r="AE1" s="3"/>
      <c r="AF1" s="10" t="str">
        <f>"이달("&amp;MONTH(C2)&amp;")월 말일:"</f>
        <v>이달(11)월 말일:</v>
      </c>
      <c r="AG1" s="11">
        <f>DATE(YEAR($C$2),MONTH($C$2)+1,0)</f>
        <v>44530</v>
      </c>
      <c r="AH1" s="12"/>
      <c r="AI1" s="13" t="s">
        <v>1</v>
      </c>
      <c r="AL1" s="12"/>
      <c r="AM1" s="12"/>
      <c r="AN1" s="12"/>
      <c r="AO1" s="14"/>
      <c r="AP1" s="14"/>
      <c r="AQ1" s="15">
        <v>9</v>
      </c>
      <c r="AS1" s="17" t="s">
        <v>2</v>
      </c>
      <c r="AW1" s="15">
        <v>8</v>
      </c>
      <c r="BG1" s="562" t="s">
        <v>3</v>
      </c>
      <c r="BH1" s="562"/>
      <c r="BI1" s="562"/>
      <c r="BJ1" s="562"/>
      <c r="BK1" s="562"/>
      <c r="BL1" s="562"/>
      <c r="BN1" s="4" t="s">
        <v>4</v>
      </c>
      <c r="BW1" s="563" t="s">
        <v>5</v>
      </c>
      <c r="BX1" s="563"/>
      <c r="BY1" s="563"/>
      <c r="BZ1" s="563"/>
      <c r="CA1" s="563"/>
      <c r="CB1" s="563"/>
      <c r="CC1" s="563"/>
      <c r="CD1" s="563"/>
      <c r="CE1" s="563"/>
    </row>
    <row r="2" spans="1:92" ht="23.1" customHeight="1" thickBot="1">
      <c r="A2" s="18"/>
      <c r="B2" s="19" t="s">
        <v>6</v>
      </c>
      <c r="C2" s="20">
        <v>44517</v>
      </c>
      <c r="D2" s="19" t="s">
        <v>7</v>
      </c>
      <c r="E2" s="21" t="s">
        <v>8</v>
      </c>
      <c r="H2" s="22"/>
      <c r="I2" s="6" t="str">
        <f>IF(OR(MONTH(C2)=3,MONTH(C2)=4,MONTH(C2)=5,MONTH(C2)=6,MONTH(C2)=7,MONTH(C2)=8),LEFT(A1,4)&amp;"-"&amp;3&amp;"-"&amp;1,LEFT(A1,4)&amp;"-"&amp;9&amp;"-"&amp;1)</f>
        <v>2021-9-1</v>
      </c>
      <c r="J2" s="6">
        <f>DATE(TEXT(J1,"yyyy"),TEXT(DATE(YEAR($J$1),MONTH($J$1)+1,0),"mm"),TEXT(DATE(YEAR($J$1),MONTH($J$1)+1,0),"dd"))</f>
        <v>44620</v>
      </c>
      <c r="K2" s="564">
        <f>DATE(YEAR($C$2),MONTH($C$2),1)</f>
        <v>44501</v>
      </c>
      <c r="L2" s="565"/>
      <c r="M2" s="566"/>
      <c r="N2" s="23"/>
      <c r="O2" s="24"/>
      <c r="P2" s="23"/>
      <c r="Q2" s="25"/>
      <c r="R2" s="26"/>
      <c r="S2" s="26"/>
      <c r="U2" s="26"/>
      <c r="V2" s="26"/>
      <c r="W2" s="26"/>
      <c r="X2" s="27"/>
      <c r="Z2" s="8"/>
      <c r="AA2" s="28"/>
      <c r="AG2" s="29"/>
      <c r="AH2" s="29"/>
      <c r="AI2" s="29"/>
      <c r="AJ2" s="30" t="s">
        <v>9</v>
      </c>
      <c r="AK2" s="31"/>
      <c r="AL2" s="31"/>
      <c r="AM2" s="32">
        <v>250000</v>
      </c>
      <c r="AN2" s="32">
        <v>75000</v>
      </c>
      <c r="AO2" s="33"/>
      <c r="AP2" s="34">
        <v>600000</v>
      </c>
      <c r="AQ2" s="35">
        <v>2</v>
      </c>
      <c r="AR2" s="32"/>
      <c r="AS2" s="32"/>
      <c r="AT2" s="32"/>
      <c r="AU2" s="32">
        <v>50000</v>
      </c>
      <c r="AV2" s="32">
        <v>140000</v>
      </c>
      <c r="AW2" s="15">
        <v>1</v>
      </c>
      <c r="AX2" s="32">
        <v>450000</v>
      </c>
      <c r="AY2" s="36"/>
      <c r="AZ2" s="16" t="s">
        <v>10</v>
      </c>
      <c r="BC2" s="37" t="s">
        <v>11</v>
      </c>
      <c r="BD2" s="37" t="s">
        <v>12</v>
      </c>
      <c r="BF2" s="38"/>
      <c r="BG2" s="39">
        <v>4.4999999999999998E-2</v>
      </c>
      <c r="BH2" s="40">
        <v>3.4299999999999997E-2</v>
      </c>
      <c r="BI2" s="40">
        <v>5.7599999999999998E-2</v>
      </c>
      <c r="BJ2" s="41"/>
      <c r="BK2" s="42">
        <f>(1.6/2)%</f>
        <v>8.0000000000000002E-3</v>
      </c>
      <c r="BL2" s="42"/>
      <c r="BN2" s="43" t="s">
        <v>13</v>
      </c>
      <c r="BS2" s="12" t="s">
        <v>14</v>
      </c>
      <c r="BT2" s="31" t="s">
        <v>15</v>
      </c>
      <c r="BU2" s="3"/>
      <c r="BW2" s="39">
        <f>BG2</f>
        <v>4.4999999999999998E-2</v>
      </c>
      <c r="BX2" s="40">
        <f>BH2</f>
        <v>3.4299999999999997E-2</v>
      </c>
      <c r="BY2" s="40">
        <f>BI2</f>
        <v>5.7599999999999998E-2</v>
      </c>
      <c r="BZ2" s="41"/>
      <c r="CA2" s="42">
        <f>BK2</f>
        <v>8.0000000000000002E-3</v>
      </c>
      <c r="CB2" s="42">
        <v>8.5000000000000006E-3</v>
      </c>
      <c r="CC2" s="42"/>
      <c r="CD2" s="42"/>
      <c r="CE2" s="42">
        <v>1.0330000000000001E-2</v>
      </c>
      <c r="CF2" s="4" t="s">
        <v>16</v>
      </c>
    </row>
    <row r="3" spans="1:92" ht="42" customHeight="1">
      <c r="A3" s="44" t="s">
        <v>17</v>
      </c>
      <c r="B3" s="45" t="s">
        <v>18</v>
      </c>
      <c r="C3" s="45" t="s">
        <v>19</v>
      </c>
      <c r="D3" s="45" t="s">
        <v>20</v>
      </c>
      <c r="E3" s="45" t="s">
        <v>21</v>
      </c>
      <c r="F3" s="46" t="s">
        <v>22</v>
      </c>
      <c r="G3" s="47" t="s">
        <v>23</v>
      </c>
      <c r="H3" s="45" t="s">
        <v>338</v>
      </c>
      <c r="I3" s="48" t="s">
        <v>24</v>
      </c>
      <c r="J3" s="49" t="s">
        <v>25</v>
      </c>
      <c r="K3" s="567" t="s">
        <v>26</v>
      </c>
      <c r="L3" s="568"/>
      <c r="M3" s="569"/>
      <c r="N3" s="570" t="s">
        <v>27</v>
      </c>
      <c r="O3" s="571"/>
      <c r="P3" s="572"/>
      <c r="Q3" s="573" t="s">
        <v>28</v>
      </c>
      <c r="R3" s="571"/>
      <c r="S3" s="572"/>
      <c r="T3" s="570" t="s">
        <v>339</v>
      </c>
      <c r="U3" s="571"/>
      <c r="V3" s="572"/>
      <c r="W3" s="47" t="s">
        <v>29</v>
      </c>
      <c r="X3" s="47" t="s">
        <v>30</v>
      </c>
      <c r="Y3" s="47" t="s">
        <v>31</v>
      </c>
      <c r="Z3" s="46" t="s">
        <v>32</v>
      </c>
      <c r="AA3" s="46" t="s">
        <v>33</v>
      </c>
      <c r="AB3" s="47" t="s">
        <v>34</v>
      </c>
      <c r="AC3" s="50" t="s">
        <v>35</v>
      </c>
      <c r="AD3" s="47" t="s">
        <v>36</v>
      </c>
      <c r="AE3" s="51" t="s">
        <v>417</v>
      </c>
      <c r="AF3" s="51" t="s">
        <v>38</v>
      </c>
      <c r="AG3" s="47" t="s">
        <v>39</v>
      </c>
      <c r="AH3" s="47" t="s">
        <v>40</v>
      </c>
      <c r="AI3" s="47" t="s">
        <v>41</v>
      </c>
      <c r="AJ3" s="52" t="s">
        <v>42</v>
      </c>
      <c r="AK3" s="47" t="s">
        <v>43</v>
      </c>
      <c r="AL3" s="47" t="s">
        <v>44</v>
      </c>
      <c r="AM3" s="47" t="s">
        <v>45</v>
      </c>
      <c r="AN3" s="47" t="s">
        <v>46</v>
      </c>
      <c r="AO3" s="47" t="s">
        <v>47</v>
      </c>
      <c r="AP3" s="47" t="s">
        <v>48</v>
      </c>
      <c r="AQ3" s="47" t="s">
        <v>49</v>
      </c>
      <c r="AR3" s="53" t="s">
        <v>50</v>
      </c>
      <c r="AS3" s="47" t="s">
        <v>51</v>
      </c>
      <c r="AT3" s="47" t="s">
        <v>52</v>
      </c>
      <c r="AU3" s="53" t="s">
        <v>344</v>
      </c>
      <c r="AV3" s="53" t="s">
        <v>364</v>
      </c>
      <c r="AW3" s="47" t="s">
        <v>53</v>
      </c>
      <c r="AX3" s="47" t="s">
        <v>54</v>
      </c>
      <c r="AY3" s="47" t="s">
        <v>55</v>
      </c>
      <c r="AZ3" s="47" t="s">
        <v>56</v>
      </c>
      <c r="BA3" s="54" t="s">
        <v>57</v>
      </c>
      <c r="BB3" s="55" t="s">
        <v>58</v>
      </c>
      <c r="BC3" s="56" t="s">
        <v>59</v>
      </c>
      <c r="BD3" s="57" t="s">
        <v>60</v>
      </c>
      <c r="BE3" s="58" t="s">
        <v>61</v>
      </c>
      <c r="BF3" s="47" t="s">
        <v>366</v>
      </c>
      <c r="BG3" s="59" t="s">
        <v>62</v>
      </c>
      <c r="BH3" s="59" t="s">
        <v>63</v>
      </c>
      <c r="BI3" s="60" t="s">
        <v>365</v>
      </c>
      <c r="BJ3" s="60" t="s">
        <v>349</v>
      </c>
      <c r="BK3" s="59" t="s">
        <v>64</v>
      </c>
      <c r="BL3" s="59" t="s">
        <v>351</v>
      </c>
      <c r="BM3" s="47" t="s">
        <v>65</v>
      </c>
      <c r="BN3" s="47" t="s">
        <v>350</v>
      </c>
      <c r="BO3" s="47" t="s">
        <v>66</v>
      </c>
      <c r="BP3" s="47" t="s">
        <v>67</v>
      </c>
      <c r="BQ3" s="47" t="s">
        <v>68</v>
      </c>
      <c r="BR3" s="61" t="s">
        <v>69</v>
      </c>
      <c r="BS3" s="57" t="s">
        <v>70</v>
      </c>
      <c r="BT3" s="57" t="s">
        <v>71</v>
      </c>
      <c r="BU3" s="4" t="s">
        <v>72</v>
      </c>
      <c r="BV3" s="62"/>
      <c r="BW3" s="63" t="s">
        <v>73</v>
      </c>
      <c r="BX3" s="63" t="s">
        <v>74</v>
      </c>
      <c r="BY3" s="60" t="s">
        <v>75</v>
      </c>
      <c r="BZ3" s="60" t="s">
        <v>76</v>
      </c>
      <c r="CA3" s="59" t="s">
        <v>77</v>
      </c>
      <c r="CB3" s="64" t="s">
        <v>78</v>
      </c>
      <c r="CC3" s="64" t="s">
        <v>79</v>
      </c>
      <c r="CD3" s="64" t="s">
        <v>80</v>
      </c>
      <c r="CE3" s="64" t="s">
        <v>81</v>
      </c>
      <c r="CF3" s="469" t="s">
        <v>82</v>
      </c>
      <c r="CG3" s="65" t="s">
        <v>83</v>
      </c>
      <c r="CH3" s="66" t="s">
        <v>84</v>
      </c>
      <c r="CI3" s="67" t="s">
        <v>85</v>
      </c>
    </row>
    <row r="4" spans="1:92" s="96" customFormat="1" ht="26.1" customHeight="1">
      <c r="A4" s="68">
        <f t="shared" ref="A4:A16" si="0">ROW()-3</f>
        <v>1</v>
      </c>
      <c r="B4" s="69" t="s">
        <v>425</v>
      </c>
      <c r="C4" s="69" t="s">
        <v>86</v>
      </c>
      <c r="D4" s="70" t="s">
        <v>439</v>
      </c>
      <c r="E4" s="71" t="s">
        <v>451</v>
      </c>
      <c r="F4" s="72" t="s">
        <v>87</v>
      </c>
      <c r="G4" s="69">
        <f>VLOOKUP(DATE(YEAR($I$1),3,1),$E$48:$F$72,2,0)</f>
        <v>365</v>
      </c>
      <c r="H4" s="103"/>
      <c r="I4" s="74">
        <v>43374</v>
      </c>
      <c r="J4" s="74">
        <f>IF(I4&lt;=DATE(2004,3,1),DATE(2004,3,1),I4)</f>
        <v>43374</v>
      </c>
      <c r="K4" s="75">
        <f>IF(J4="","",YEAR($J$2)-YEAR(J4)+INT((MONTH($J$2)-MONTH(J4)+INT((DAY($J$2)-DAY(J4)+1)/CHOOSE(MONTH($J$2),31,IF(MOD($J$2,1461)&lt;367,29,28),31,30,31,30,31,31,30,31,30,31)))/12))</f>
        <v>3</v>
      </c>
      <c r="L4" s="76">
        <f>IF(K4="","",MOD((MONTH($J$2)-MONTH(J4))+INT((DAY($J$2)-DAY(J4)+1)/CHOOSE(MONTH($J$2),31,IF(MOD($J$2,1461)&lt;367,29,28),31,30,31,30,31,31,30,31,30,31)),12))</f>
        <v>5</v>
      </c>
      <c r="M4" s="77">
        <f>IF(IF(L4="","",MOD(DAY($J$2)-DAY(J4)+1,CHOOSE(MONTH($J$2),31,IF(MOD($J$2,1461)&lt;367,29,28),31,30,31,30,31,31,30,31,30,31)))=30,29,IF(L4="","",MOD(DAY($J$2)-DAY(J4)+1,CHOOSE(MONTH($J$2),31,IF(MOD($J$2,1461)&lt;367,29,28),31,30,31,30,31,31,30,31,30,31))))</f>
        <v>0</v>
      </c>
      <c r="N4" s="78">
        <f>IF(I4="","",YEAR($I$2)-YEAR(I4)+INT((MONTH($I$2)-MONTH(I4)+INT((DAY($I$2)-DAY(I4)+1)/CHOOSE(MONTH($I$2),31,IF(MOD($I$2,1461)&lt;367,29,28),31,30,31,30,31,31,30,31,30,31)))/12))</f>
        <v>2</v>
      </c>
      <c r="O4" s="79">
        <f>IF(N4="","",MOD((MONTH($I$2)-MONTH(I4))+INT((DAY($I$2)-DAY(I4)+1)/CHOOSE(MONTH($I$2),31,IF(MOD($I$2,1461)&lt;367,29,28),31,30,31,30,31,31,30,31,30,31)),12))</f>
        <v>11</v>
      </c>
      <c r="P4" s="80">
        <f>IF(IF(O4="","",MOD(DAY($I$2)-DAY(I4)+1,CHOOSE(MONTH($I$2),31,IF(MOD($I$2,1461)&lt;367,29,28),31,30,31,30,31,31,30,31,30,31)))=30,29,IF(O4="","",MOD(DAY($I$2)-DAY(I4)+1,CHOOSE(MONTH($I$2),31,IF(MOD($I$2,1461)&lt;367,29,28),31,30,31,30,31,31,30,31,30,31))))</f>
        <v>1</v>
      </c>
      <c r="Q4" s="81"/>
      <c r="R4" s="82"/>
      <c r="S4" s="83"/>
      <c r="T4" s="369">
        <f t="shared" ref="T4:T14" si="1">SUM(N4,Q4)+INT((SUM(O4,R4)+INT(SUM(P4,S4)/30))/12)</f>
        <v>2</v>
      </c>
      <c r="U4" s="82">
        <f t="shared" ref="U4:U14" si="2">MOD(INT(SUM(P4,S4)/30)+SUM(O4,R4),12)</f>
        <v>11</v>
      </c>
      <c r="V4" s="83">
        <f t="shared" ref="V4:V14" si="3">MOD(SUM(P4,S4),30)</f>
        <v>1</v>
      </c>
      <c r="W4" s="85"/>
      <c r="X4" s="86">
        <v>43374</v>
      </c>
      <c r="Y4" s="74" t="s">
        <v>88</v>
      </c>
      <c r="Z4" s="87" t="s">
        <v>463</v>
      </c>
      <c r="AA4" s="88">
        <v>44620</v>
      </c>
      <c r="AB4" s="73" t="s">
        <v>89</v>
      </c>
      <c r="AC4" s="89">
        <v>1840000</v>
      </c>
      <c r="AD4" s="90"/>
      <c r="AE4" s="90"/>
      <c r="AF4" s="91">
        <f>AG4</f>
        <v>30</v>
      </c>
      <c r="AG4" s="92">
        <f>VALUE(DAY(AG1))</f>
        <v>30</v>
      </c>
      <c r="AH4" s="91"/>
      <c r="AI4" s="93">
        <v>27.5</v>
      </c>
      <c r="AJ4" s="395">
        <f>ROUNDDOWN(AC4*AF4/AG4*AI4/40,-1)</f>
        <v>1265000</v>
      </c>
      <c r="AK4" s="396"/>
      <c r="AL4" s="396"/>
      <c r="AM4" s="396"/>
      <c r="AN4" s="396"/>
      <c r="AO4" s="396"/>
      <c r="AP4" s="395"/>
      <c r="AQ4" s="396"/>
      <c r="AR4" s="396"/>
      <c r="AS4" s="395"/>
      <c r="AT4" s="395">
        <f>IF(C4="영양사",20000,0)</f>
        <v>0</v>
      </c>
      <c r="AU4" s="395"/>
      <c r="AV4" s="395">
        <f>IFERROR(ROUNDDOWN($AV$2*AF4/AG4,-1),0)</f>
        <v>140000</v>
      </c>
      <c r="AW4" s="395"/>
      <c r="AX4" s="395"/>
      <c r="AY4" s="395"/>
      <c r="AZ4" s="395"/>
      <c r="BA4" s="397"/>
      <c r="BB4" s="398">
        <f t="shared" ref="BB4:BB10" si="4">SUM(AJ4:AY4)+AZ4</f>
        <v>1405000</v>
      </c>
      <c r="BC4" s="399"/>
      <c r="BD4" s="400">
        <v>1381675</v>
      </c>
      <c r="BE4" s="401"/>
      <c r="BF4" s="402">
        <f>ROUNDDOWN(BE4*0.1,-1)</f>
        <v>0</v>
      </c>
      <c r="BG4" s="403">
        <f t="shared" ref="BG4:BG13" si="5">ROUNDDOWN(BC4*$BG$2,-1)</f>
        <v>0</v>
      </c>
      <c r="BH4" s="403">
        <f>ROUNDDOWN($BD4*$BH$2,-1)</f>
        <v>47390</v>
      </c>
      <c r="BI4" s="403">
        <f>ROUNDDOWN((BH4*2)*$BI$2,-1)</f>
        <v>5450</v>
      </c>
      <c r="BJ4" s="403"/>
      <c r="BK4" s="403">
        <v>11050</v>
      </c>
      <c r="BL4" s="403"/>
      <c r="BM4" s="404"/>
      <c r="BN4" s="405"/>
      <c r="BO4" s="405"/>
      <c r="BP4" s="395"/>
      <c r="BQ4" s="395">
        <f t="shared" ref="BQ4:BQ9" si="6">SUM(BE4:BP4)</f>
        <v>63890</v>
      </c>
      <c r="BR4" s="406">
        <f t="shared" ref="BR4:BR16" si="7">BB4-BQ4</f>
        <v>1341110</v>
      </c>
      <c r="BS4" s="407">
        <v>1251341</v>
      </c>
      <c r="BT4" s="407">
        <f>BS4</f>
        <v>1251341</v>
      </c>
      <c r="BU4" s="408"/>
      <c r="BV4" s="408"/>
      <c r="BW4" s="409">
        <f>BG4</f>
        <v>0</v>
      </c>
      <c r="BX4" s="410">
        <f>BH4</f>
        <v>47390</v>
      </c>
      <c r="BY4" s="410">
        <f t="shared" ref="BY4:BY8" si="8">BI4</f>
        <v>5450</v>
      </c>
      <c r="BZ4" s="410"/>
      <c r="CA4" s="410">
        <f>BK4</f>
        <v>11050</v>
      </c>
      <c r="CB4" s="411">
        <v>11740</v>
      </c>
      <c r="CC4" s="412"/>
      <c r="CD4" s="410"/>
      <c r="CE4" s="413">
        <v>13810</v>
      </c>
      <c r="CF4" s="408">
        <f>SUM(BW4:CE4)</f>
        <v>89440</v>
      </c>
      <c r="CG4" s="408"/>
      <c r="CH4" s="414">
        <f>BK4+CA4+CB4</f>
        <v>33840</v>
      </c>
      <c r="CI4" s="408">
        <f>CD4+CH4</f>
        <v>33840</v>
      </c>
      <c r="CJ4" s="408"/>
      <c r="CK4" s="408"/>
      <c r="CL4" s="408"/>
      <c r="CM4" s="95"/>
      <c r="CN4" s="67"/>
    </row>
    <row r="5" spans="1:92" s="96" customFormat="1" ht="26.1" customHeight="1">
      <c r="A5" s="68">
        <f t="shared" si="0"/>
        <v>2</v>
      </c>
      <c r="B5" s="69" t="s">
        <v>427</v>
      </c>
      <c r="C5" s="69" t="s">
        <v>90</v>
      </c>
      <c r="D5" s="70" t="s">
        <v>440</v>
      </c>
      <c r="E5" s="71" t="s">
        <v>452</v>
      </c>
      <c r="F5" s="72" t="s">
        <v>87</v>
      </c>
      <c r="G5" s="69">
        <v>365</v>
      </c>
      <c r="H5" s="103" t="s">
        <v>359</v>
      </c>
      <c r="I5" s="74">
        <v>41701</v>
      </c>
      <c r="J5" s="74">
        <v>43160</v>
      </c>
      <c r="K5" s="75">
        <f>IF(J5="","",YEAR($J$2)-YEAR(J5)+INT((MONTH($J$2)-MONTH(J5)+INT((DAY($J$2)-DAY(J5)+1)/CHOOSE(MONTH($J$2),31,IF(MOD($J$2,1461)&lt;367,29,28),31,30,31,30,31,31,30,31,30,31)))/12))</f>
        <v>4</v>
      </c>
      <c r="L5" s="76">
        <f t="shared" ref="L5:L14" si="9">IF(K5="","",MOD((MONTH($J$2)-MONTH(J5))+INT((DAY($J$2)-DAY(J5)+1)/CHOOSE(MONTH($J$2),31,IF(MOD($J$2,1461)&lt;367,29,28),31,30,31,30,31,31,30,31,30,31)),12))</f>
        <v>0</v>
      </c>
      <c r="M5" s="77">
        <f t="shared" ref="M5:M14" si="10">IF(IF(L5="","",MOD(DAY($J$2)-DAY(J5)+1,CHOOSE(MONTH($J$2),31,IF(MOD($J$2,1461)&lt;367,29,28),31,30,31,30,31,31,30,31,30,31)))=30,29,IF(L5="","",MOD(DAY($J$2)-DAY(J5)+1,CHOOSE(MONTH($J$2),31,IF(MOD($J$2,1461)&lt;367,29,28),31,30,31,30,31,31,30,31,30,31))))</f>
        <v>0</v>
      </c>
      <c r="N5" s="78">
        <f>IF(J5="","",YEAR($I$2)-YEAR(J5)+INT((MONTH($I$2)-MONTH(J5)+INT((DAY($I$2)-DAY(J5)+1)/CHOOSE(MONTH($I$2),31,IF(MOD($I$2,1461)&lt;367,29,28),31,30,31,30,31,31,30,31,30,31)))/12))</f>
        <v>3</v>
      </c>
      <c r="O5" s="79">
        <f>IF(N5="","",MOD((MONTH($I$2)-MONTH(J5))+INT((DAY($I$2)-DAY(J5)+1)/CHOOSE(MONTH($I$2),31,IF(MOD($I$2,1461)&lt;367,29,28),31,30,31,30,31,31,30,31,30,31)),12))</f>
        <v>6</v>
      </c>
      <c r="P5" s="80">
        <f>IF(IF(O5="","",MOD(DAY($I$2)-DAY(J5)+1,CHOOSE(MONTH($I$2),31,IF(MOD($I$2,1461)&lt;367,29,28),31,30,31,30,31,31,30,31,30,31)))=30,29,IF(O5="","",MOD(DAY($I$2)-DAY(J5)+1,CHOOSE(MONTH($I$2),31,IF(MOD($I$2,1461)&lt;367,29,28),31,30,31,30,31,31,30,31,30,31))))</f>
        <v>1</v>
      </c>
      <c r="Q5" s="81"/>
      <c r="R5" s="82"/>
      <c r="S5" s="83"/>
      <c r="T5" s="369">
        <f t="shared" si="1"/>
        <v>3</v>
      </c>
      <c r="U5" s="82">
        <f t="shared" si="2"/>
        <v>6</v>
      </c>
      <c r="V5" s="83">
        <f t="shared" si="3"/>
        <v>1</v>
      </c>
      <c r="W5" s="85"/>
      <c r="X5" s="86">
        <v>43160</v>
      </c>
      <c r="Y5" s="74" t="s">
        <v>91</v>
      </c>
      <c r="Z5" s="87" t="s">
        <v>464</v>
      </c>
      <c r="AA5" s="97">
        <f>EOMONTH((DATE(YEAR(DATE(LEFT(D5,2),MID(D5,3,2),MID(D5,5,2)))+60, VLOOKUP(MONTH(DATE(LEFT(D5,2),MID(D5,3,2),MID(D5,5,2))),{1,2;3,8;9,14},2 ),1)),0)</f>
        <v>56857</v>
      </c>
      <c r="AB5" s="73" t="s">
        <v>92</v>
      </c>
      <c r="AC5" s="89">
        <v>1840000</v>
      </c>
      <c r="AD5" s="90"/>
      <c r="AE5" s="90"/>
      <c r="AF5" s="98">
        <f>AG5</f>
        <v>30</v>
      </c>
      <c r="AG5" s="91">
        <f t="shared" ref="AG5:AG15" si="11">$AG$4</f>
        <v>30</v>
      </c>
      <c r="AH5" s="91"/>
      <c r="AI5" s="93">
        <v>20</v>
      </c>
      <c r="AJ5" s="395">
        <f>ROUNDDOWN(AC5*AF5/AG5*AI5/40,-1)</f>
        <v>920000</v>
      </c>
      <c r="AK5" s="396"/>
      <c r="AL5" s="396"/>
      <c r="AM5" s="396"/>
      <c r="AN5" s="396"/>
      <c r="AO5" s="396">
        <f t="shared" ref="AO5:AO14" si="12">IFERROR(VLOOKUP(MIN(20,T5),근속년수,3,FALSE),0)*AI5/40</f>
        <v>52500</v>
      </c>
      <c r="AP5" s="395"/>
      <c r="AQ5" s="395">
        <f>IF(OR(MONTH($C$2)=$AQ$1,MONTH($C$2)=$AQ$2),$AP$2*AI5/40,0)</f>
        <v>0</v>
      </c>
      <c r="AR5" s="396"/>
      <c r="AS5" s="395">
        <f>(40000+20000)*20/40</f>
        <v>30000</v>
      </c>
      <c r="AT5" s="395"/>
      <c r="AU5" s="395"/>
      <c r="AV5" s="395">
        <f t="shared" ref="AV5:AV12" si="13">IFERROR(ROUNDDOWN($AV$2*AF5/AG5,-1),0)</f>
        <v>140000</v>
      </c>
      <c r="AW5" s="395">
        <f>IF(OR(MONTH($C$2)=$AW$1,MONTH($C$2)=$AW$2),$AX$2*AI5/40,0)</f>
        <v>0</v>
      </c>
      <c r="AX5" s="395"/>
      <c r="AY5" s="395"/>
      <c r="AZ5" s="395"/>
      <c r="BA5" s="397"/>
      <c r="BB5" s="398">
        <f t="shared" si="4"/>
        <v>1142500</v>
      </c>
      <c r="BC5" s="415">
        <v>1101000</v>
      </c>
      <c r="BD5" s="400">
        <v>1119840</v>
      </c>
      <c r="BE5" s="401"/>
      <c r="BF5" s="402">
        <f t="shared" ref="BF5:BF15" si="14">ROUNDDOWN(BE5*0.1,-1)</f>
        <v>0</v>
      </c>
      <c r="BG5" s="403">
        <f t="shared" si="5"/>
        <v>49540</v>
      </c>
      <c r="BH5" s="403">
        <f t="shared" ref="BH5:BH14" si="15">ROUNDDOWN($BD5*$BH$2,-1)</f>
        <v>38410</v>
      </c>
      <c r="BI5" s="403">
        <f t="shared" ref="BI5:BI14" si="16">ROUNDDOWN((BH5*2)*$BI$2,-1)</f>
        <v>4420</v>
      </c>
      <c r="BJ5" s="403"/>
      <c r="BK5" s="403">
        <v>8950</v>
      </c>
      <c r="BL5" s="403"/>
      <c r="BM5" s="404">
        <v>0</v>
      </c>
      <c r="BN5" s="405"/>
      <c r="BO5" s="405"/>
      <c r="BP5" s="395"/>
      <c r="BQ5" s="395">
        <f t="shared" si="6"/>
        <v>101320</v>
      </c>
      <c r="BR5" s="406">
        <f t="shared" si="7"/>
        <v>1041180</v>
      </c>
      <c r="BS5" s="407">
        <v>1012061</v>
      </c>
      <c r="BT5" s="407">
        <f t="shared" ref="BT5:BT15" si="17">BS5</f>
        <v>1012061</v>
      </c>
      <c r="BU5" s="408"/>
      <c r="BV5" s="408"/>
      <c r="BW5" s="410">
        <f>BG5-200</f>
        <v>49340</v>
      </c>
      <c r="BX5" s="410">
        <f t="shared" ref="BX5:BX14" si="18">BH5</f>
        <v>38410</v>
      </c>
      <c r="BY5" s="410">
        <f t="shared" si="8"/>
        <v>4420</v>
      </c>
      <c r="BZ5" s="410"/>
      <c r="CA5" s="410">
        <f t="shared" ref="CA5:CA13" si="19">BK5</f>
        <v>8950</v>
      </c>
      <c r="CB5" s="411">
        <v>9510</v>
      </c>
      <c r="CC5" s="412"/>
      <c r="CD5" s="410"/>
      <c r="CE5" s="413">
        <v>11190</v>
      </c>
      <c r="CF5" s="408">
        <f t="shared" ref="CF5:CF13" si="20">SUM(BW5:CE5)</f>
        <v>121820</v>
      </c>
      <c r="CG5" s="408"/>
      <c r="CH5" s="414">
        <f t="shared" ref="CH5:CH16" si="21">BK5+CA5+CB5</f>
        <v>27410</v>
      </c>
      <c r="CI5" s="408">
        <f t="shared" ref="CI5:CI13" si="22">CD5+CH5</f>
        <v>27410</v>
      </c>
      <c r="CJ5" s="408"/>
      <c r="CK5" s="408"/>
      <c r="CL5" s="408"/>
      <c r="CM5" s="95"/>
      <c r="CN5" s="67"/>
    </row>
    <row r="6" spans="1:92" s="96" customFormat="1" ht="26.1" customHeight="1">
      <c r="A6" s="68">
        <f t="shared" si="0"/>
        <v>3</v>
      </c>
      <c r="B6" s="69" t="s">
        <v>428</v>
      </c>
      <c r="C6" s="69" t="s">
        <v>90</v>
      </c>
      <c r="D6" s="70" t="s">
        <v>441</v>
      </c>
      <c r="E6" s="71" t="s">
        <v>453</v>
      </c>
      <c r="F6" s="72" t="s">
        <v>87</v>
      </c>
      <c r="G6" s="69">
        <v>365</v>
      </c>
      <c r="H6" s="103" t="s">
        <v>359</v>
      </c>
      <c r="I6" s="74">
        <v>40970</v>
      </c>
      <c r="J6" s="74">
        <f>IF(I6&lt;=DATE(2004,3,1),DATE(2004,3,1),I6)</f>
        <v>40970</v>
      </c>
      <c r="K6" s="75">
        <f t="shared" ref="K6:K14" si="23">IF(J6="","",YEAR($J$2)-YEAR(J6)+INT((MONTH($J$2)-MONTH(J6)+INT((DAY($J$2)-DAY(J6)+1)/CHOOSE(MONTH($J$2),31,IF(MOD($J$2,1461)&lt;367,29,28),31,30,31,30,31,31,30,31,30,31)))/12))</f>
        <v>9</v>
      </c>
      <c r="L6" s="76">
        <f t="shared" si="9"/>
        <v>11</v>
      </c>
      <c r="M6" s="77">
        <f t="shared" si="10"/>
        <v>27</v>
      </c>
      <c r="N6" s="78">
        <f>IF(I6="","",YEAR($I$2)-YEAR(I6)+INT((MONTH($I$2)-MONTH(I6)+INT((DAY($I$2)-DAY(I6)+1)/CHOOSE(MONTH($I$2),31,IF(MOD($I$2,1461)&lt;367,29,28),31,30,31,30,31,31,30,31,30,31)))/12))</f>
        <v>9</v>
      </c>
      <c r="O6" s="79">
        <f>IF(N6="","",MOD((MONTH($I$2)-MONTH(I6))+INT((DAY($I$2)-DAY(I6)+1)/CHOOSE(MONTH($I$2),31,IF(MOD($I$2,1461)&lt;367,29,28),31,30,31,30,31,31,30,31,30,31)),12))</f>
        <v>6</v>
      </c>
      <c r="P6" s="80">
        <f>IF(IF(O6="","",MOD(DAY($I$2)-DAY(I6)+1,CHOOSE(MONTH($I$2),31,IF(MOD($I$2,1461)&lt;367,29,28),31,30,31,30,31,31,30,31,30,31)))=30,29,IF(O6="","",MOD(DAY($I$2)-DAY(I6)+1,CHOOSE(MONTH($I$2),31,IF(MOD($I$2,1461)&lt;367,29,28),31,30,31,30,31,31,30,31,30,31))))</f>
        <v>0</v>
      </c>
      <c r="Q6" s="81">
        <v>3</v>
      </c>
      <c r="R6" s="82">
        <v>4</v>
      </c>
      <c r="S6" s="83">
        <v>1</v>
      </c>
      <c r="T6" s="369">
        <f t="shared" si="1"/>
        <v>12</v>
      </c>
      <c r="U6" s="82">
        <f t="shared" si="2"/>
        <v>10</v>
      </c>
      <c r="V6" s="83">
        <f t="shared" si="3"/>
        <v>1</v>
      </c>
      <c r="W6" s="85"/>
      <c r="X6" s="86">
        <v>41335</v>
      </c>
      <c r="Y6" s="74" t="s">
        <v>91</v>
      </c>
      <c r="Z6" s="87" t="s">
        <v>465</v>
      </c>
      <c r="AA6" s="97">
        <f>EOMONTH((DATE(YEAR(DATE(LEFT(D6,2),MID(D6,3,2),MID(D6,5,2)))+60, VLOOKUP(MONTH(DATE(LEFT(D6,2),MID(D6,3,2),MID(D6,5,2))),{1,2;3,8;9,14},2 ),1)),0)</f>
        <v>55762</v>
      </c>
      <c r="AB6" s="73" t="s">
        <v>93</v>
      </c>
      <c r="AC6" s="89">
        <v>1840000</v>
      </c>
      <c r="AD6" s="99"/>
      <c r="AE6" s="90"/>
      <c r="AF6" s="98">
        <f>AG6</f>
        <v>30</v>
      </c>
      <c r="AG6" s="91">
        <f t="shared" si="11"/>
        <v>30</v>
      </c>
      <c r="AH6" s="101"/>
      <c r="AI6" s="93">
        <v>25</v>
      </c>
      <c r="AJ6" s="395">
        <f>ROUNDDOWN(AC6*AF6/AG6*AI6/40,-1)</f>
        <v>1150000</v>
      </c>
      <c r="AK6" s="395"/>
      <c r="AL6" s="396"/>
      <c r="AM6" s="396"/>
      <c r="AN6" s="396"/>
      <c r="AO6" s="396">
        <f t="shared" si="12"/>
        <v>262500</v>
      </c>
      <c r="AP6" s="395"/>
      <c r="AQ6" s="395">
        <f t="shared" ref="AQ6:AQ12" si="24">IF(OR(MONTH($C$2)=$AQ$1,MONTH($C$2)=$AQ$2),$AP$2*AI6/40,0)</f>
        <v>0</v>
      </c>
      <c r="AR6" s="396"/>
      <c r="AS6" s="395">
        <f>(40000+20000)*25/40</f>
        <v>37500</v>
      </c>
      <c r="AT6" s="395"/>
      <c r="AU6" s="395">
        <f>ROUNDDOWN(AU$2*AE6/AG6,-1)</f>
        <v>0</v>
      </c>
      <c r="AV6" s="395">
        <f t="shared" si="13"/>
        <v>140000</v>
      </c>
      <c r="AW6" s="395">
        <f t="shared" ref="AW6:AW10" si="25">IF(OR(MONTH($C$2)=$AW$1,MONTH($C$2)=$AW$2),$AX$2*AI6/40,0)</f>
        <v>0</v>
      </c>
      <c r="AX6" s="395"/>
      <c r="AY6" s="395"/>
      <c r="AZ6" s="395"/>
      <c r="BA6" s="397"/>
      <c r="BB6" s="398">
        <f t="shared" si="4"/>
        <v>1590000</v>
      </c>
      <c r="BC6" s="415">
        <v>1551000</v>
      </c>
      <c r="BD6" s="400">
        <v>1577480</v>
      </c>
      <c r="BE6" s="401"/>
      <c r="BF6" s="402">
        <f t="shared" si="14"/>
        <v>0</v>
      </c>
      <c r="BG6" s="403">
        <f t="shared" si="5"/>
        <v>69790</v>
      </c>
      <c r="BH6" s="403">
        <f t="shared" si="15"/>
        <v>54100</v>
      </c>
      <c r="BI6" s="403">
        <f t="shared" si="16"/>
        <v>6230</v>
      </c>
      <c r="BJ6" s="403"/>
      <c r="BK6" s="403">
        <v>12610</v>
      </c>
      <c r="BL6" s="403"/>
      <c r="BM6" s="404">
        <v>0</v>
      </c>
      <c r="BN6" s="405"/>
      <c r="BO6" s="405"/>
      <c r="BP6" s="395"/>
      <c r="BQ6" s="395">
        <f t="shared" si="6"/>
        <v>142730</v>
      </c>
      <c r="BR6" s="406">
        <f t="shared" si="7"/>
        <v>1447270</v>
      </c>
      <c r="BS6" s="407">
        <v>1512783</v>
      </c>
      <c r="BT6" s="407">
        <f t="shared" si="17"/>
        <v>1512783</v>
      </c>
      <c r="BU6" s="408"/>
      <c r="BV6" s="408"/>
      <c r="BW6" s="410">
        <f>BG6</f>
        <v>69790</v>
      </c>
      <c r="BX6" s="410">
        <f t="shared" si="18"/>
        <v>54100</v>
      </c>
      <c r="BY6" s="410">
        <f t="shared" si="8"/>
        <v>6230</v>
      </c>
      <c r="BZ6" s="410"/>
      <c r="CA6" s="410">
        <f t="shared" si="19"/>
        <v>12610</v>
      </c>
      <c r="CB6" s="411">
        <v>13400</v>
      </c>
      <c r="CC6" s="412"/>
      <c r="CD6" s="410"/>
      <c r="CE6" s="413">
        <v>15770</v>
      </c>
      <c r="CF6" s="408">
        <f>SUM(BW6:CE6)</f>
        <v>171900</v>
      </c>
      <c r="CG6" s="408"/>
      <c r="CH6" s="414">
        <f>BK6+CA6+CB6</f>
        <v>38620</v>
      </c>
      <c r="CI6" s="408">
        <f>CD6+CH6</f>
        <v>38620</v>
      </c>
      <c r="CJ6" s="408"/>
      <c r="CK6" s="408"/>
      <c r="CL6" s="408"/>
      <c r="CM6" s="95"/>
      <c r="CN6" s="67"/>
    </row>
    <row r="7" spans="1:92" s="96" customFormat="1" ht="26.1" customHeight="1">
      <c r="A7" s="68">
        <f t="shared" si="0"/>
        <v>4</v>
      </c>
      <c r="B7" s="69" t="s">
        <v>429</v>
      </c>
      <c r="C7" s="69" t="s">
        <v>94</v>
      </c>
      <c r="D7" s="70" t="s">
        <v>442</v>
      </c>
      <c r="E7" s="71" t="s">
        <v>454</v>
      </c>
      <c r="F7" s="72" t="s">
        <v>95</v>
      </c>
      <c r="G7" s="69">
        <v>300</v>
      </c>
      <c r="H7" s="103" t="s">
        <v>356</v>
      </c>
      <c r="I7" s="74">
        <v>36564</v>
      </c>
      <c r="J7" s="74">
        <v>39356</v>
      </c>
      <c r="K7" s="75">
        <f>IF(J7="","",YEAR($J$2)-YEAR(J7)+INT((MONTH($J$2)-MONTH(J7)+INT((DAY($J$2)-DAY(J7)+1)/CHOOSE(MONTH($J$2),31,IF(MOD($J$2,1461)&lt;367,29,28),31,30,31,30,31,31,30,31,30,31)))/12))</f>
        <v>14</v>
      </c>
      <c r="L7" s="76">
        <f>IF(K7="","",MOD((MONTH($J$2)-MONTH(J7))+INT((DAY($J$2)-DAY(J7)+1)/CHOOSE(MONTH($J$2),31,IF(MOD($J$2,1461)&lt;367,29,28),31,30,31,30,31,31,30,31,30,31)),12))</f>
        <v>5</v>
      </c>
      <c r="M7" s="77">
        <f>IF(IF(L7="","",MOD(DAY($J$2)-DAY(J7)+1,CHOOSE(MONTH($J$2),31,IF(MOD($J$2,1461)&lt;367,29,28),31,30,31,30,31,31,30,31,30,31)))=30,29,IF(L7="","",MOD(DAY($J$2)-DAY(J7)+1,CHOOSE(MONTH($J$2),31,IF(MOD($J$2,1461)&lt;367,29,28),31,30,31,30,31,31,30,31,30,31))))</f>
        <v>0</v>
      </c>
      <c r="N7" s="78">
        <f>IF(I7="","",YEAR($I$2)-YEAR(I7)+INT((MONTH($I$2)-MONTH(I7)+INT((DAY($I$2)-DAY(I7)+1)/CHOOSE(MONTH($I$2),31,IF(MOD($I$2,1461)&lt;367,29,28),31,30,31,30,31,31,30,31,30,31)))/12))</f>
        <v>21</v>
      </c>
      <c r="O7" s="79">
        <f>IF(N7="","",MOD((MONTH($I$2)-MONTH(I7))+INT((DAY($I$2)-DAY(I7)+1)/CHOOSE(MONTH($I$2),31,IF(MOD($I$2,1461)&lt;367,29,28),31,30,31,30,31,31,30,31,30,31)),12))</f>
        <v>6</v>
      </c>
      <c r="P7" s="80">
        <f>IF(IF(O7="","",MOD(DAY($I$2)-DAY(I7)+1,CHOOSE(MONTH($I$2),31,IF(MOD($I$2,1461)&lt;367,29,28),31,30,31,30,31,31,30,31,30,31)))=30,29,IF(O7="","",MOD(DAY($I$2)-DAY(I7)+1,CHOOSE(MONTH($I$2),31,IF(MOD($I$2,1461)&lt;367,29,28),31,30,31,30,31,31,30,31,30,31))))</f>
        <v>24</v>
      </c>
      <c r="Q7" s="81">
        <v>3</v>
      </c>
      <c r="R7" s="82">
        <v>2</v>
      </c>
      <c r="S7" s="83">
        <v>29</v>
      </c>
      <c r="T7" s="369">
        <f>SUM(N7,Q7)+INT((SUM(O7,R7)+INT(SUM(P7,S7)/30))/12)</f>
        <v>24</v>
      </c>
      <c r="U7" s="82">
        <f>MOD(INT(SUM(P7,S7)/30)+SUM(O7,R7),12)</f>
        <v>9</v>
      </c>
      <c r="V7" s="83">
        <f>MOD(SUM(P7,S7),30)</f>
        <v>23</v>
      </c>
      <c r="W7" s="85"/>
      <c r="X7" s="86">
        <v>39356</v>
      </c>
      <c r="Y7" s="74" t="s">
        <v>91</v>
      </c>
      <c r="Z7" s="102" t="s">
        <v>466</v>
      </c>
      <c r="AA7" s="97">
        <f>EOMONTH((DATE(YEAR(DATE(LEFT(D7,2),MID(D7,3,2),MID(D7,5,2)))+60, VLOOKUP(MONTH(DATE(LEFT(D7,2),MID(D7,3,2),MID(D7,5,2))),{1,2;3,8;9,14},2 ),1)),0)</f>
        <v>45169</v>
      </c>
      <c r="AB7" s="73" t="s">
        <v>96</v>
      </c>
      <c r="AC7" s="89">
        <v>1840000</v>
      </c>
      <c r="AD7" s="99"/>
      <c r="AE7" s="90">
        <v>30</v>
      </c>
      <c r="AF7" s="100">
        <v>30</v>
      </c>
      <c r="AG7" s="91">
        <f t="shared" si="11"/>
        <v>30</v>
      </c>
      <c r="AH7" s="101" t="s">
        <v>268</v>
      </c>
      <c r="AI7" s="93">
        <v>40</v>
      </c>
      <c r="AJ7" s="395">
        <f t="shared" ref="AJ7:AJ14" si="26">ROUNDDOWN(AC7*AF7/AG7,-1)</f>
        <v>1840000</v>
      </c>
      <c r="AK7" s="395"/>
      <c r="AL7" s="396"/>
      <c r="AM7" s="396"/>
      <c r="AN7" s="396"/>
      <c r="AO7" s="396">
        <f t="shared" si="12"/>
        <v>700000</v>
      </c>
      <c r="AP7" s="395"/>
      <c r="AQ7" s="395">
        <f t="shared" si="24"/>
        <v>0</v>
      </c>
      <c r="AR7" s="396"/>
      <c r="AS7" s="395">
        <v>40000</v>
      </c>
      <c r="AT7" s="395"/>
      <c r="AU7" s="395">
        <f>IFERROR(ROUNDDOWN($AU$2*AE7/AG7,-1),0)</f>
        <v>50000</v>
      </c>
      <c r="AV7" s="395">
        <f t="shared" si="13"/>
        <v>140000</v>
      </c>
      <c r="AW7" s="395">
        <f t="shared" si="25"/>
        <v>0</v>
      </c>
      <c r="AX7" s="395"/>
      <c r="AY7" s="395"/>
      <c r="AZ7" s="395"/>
      <c r="BA7" s="397"/>
      <c r="BB7" s="398">
        <f t="shared" si="4"/>
        <v>2770000</v>
      </c>
      <c r="BC7" s="415">
        <v>2363000</v>
      </c>
      <c r="BD7" s="400">
        <v>2403090</v>
      </c>
      <c r="BE7" s="401"/>
      <c r="BF7" s="402">
        <f t="shared" si="14"/>
        <v>0</v>
      </c>
      <c r="BG7" s="403">
        <f t="shared" si="5"/>
        <v>106330</v>
      </c>
      <c r="BH7" s="403">
        <f t="shared" si="15"/>
        <v>82420</v>
      </c>
      <c r="BI7" s="403">
        <f t="shared" si="16"/>
        <v>9490</v>
      </c>
      <c r="BJ7" s="403"/>
      <c r="BK7" s="403">
        <v>19050</v>
      </c>
      <c r="BL7" s="403"/>
      <c r="BM7" s="404">
        <v>900000</v>
      </c>
      <c r="BN7" s="405">
        <v>0</v>
      </c>
      <c r="BO7" s="405"/>
      <c r="BP7" s="395"/>
      <c r="BQ7" s="395">
        <f>SUM(BE7:BP7)</f>
        <v>1117290</v>
      </c>
      <c r="BR7" s="406">
        <f>BB7-BQ7</f>
        <v>1652710</v>
      </c>
      <c r="BS7" s="407">
        <v>2381250</v>
      </c>
      <c r="BT7" s="407">
        <f t="shared" si="17"/>
        <v>2381250</v>
      </c>
      <c r="BU7" s="408"/>
      <c r="BV7" s="408"/>
      <c r="BW7" s="410">
        <f t="shared" ref="BW7:BW9" si="27">BG7</f>
        <v>106330</v>
      </c>
      <c r="BX7" s="410">
        <f t="shared" si="18"/>
        <v>82420</v>
      </c>
      <c r="BY7" s="410">
        <f t="shared" si="8"/>
        <v>9490</v>
      </c>
      <c r="BZ7" s="410"/>
      <c r="CA7" s="410">
        <f t="shared" si="19"/>
        <v>19050</v>
      </c>
      <c r="CB7" s="411">
        <v>20240</v>
      </c>
      <c r="CC7" s="412"/>
      <c r="CD7" s="410"/>
      <c r="CE7" s="413">
        <v>23810</v>
      </c>
      <c r="CF7" s="408">
        <f>SUM(BW7:CE7)</f>
        <v>261340</v>
      </c>
      <c r="CG7" s="408"/>
      <c r="CH7" s="414">
        <f>BK7+CA7+CB7</f>
        <v>58340</v>
      </c>
      <c r="CI7" s="408">
        <f>CD7+CH7</f>
        <v>58340</v>
      </c>
      <c r="CJ7" s="408"/>
      <c r="CK7" s="408"/>
      <c r="CL7" s="408"/>
      <c r="CM7" s="95"/>
      <c r="CN7" s="67"/>
    </row>
    <row r="8" spans="1:92" s="96" customFormat="1" ht="26.1" customHeight="1">
      <c r="A8" s="68">
        <f t="shared" si="0"/>
        <v>5</v>
      </c>
      <c r="B8" s="69" t="s">
        <v>430</v>
      </c>
      <c r="C8" s="69" t="s">
        <v>94</v>
      </c>
      <c r="D8" s="70" t="s">
        <v>443</v>
      </c>
      <c r="E8" s="71" t="s">
        <v>455</v>
      </c>
      <c r="F8" s="72" t="s">
        <v>95</v>
      </c>
      <c r="G8" s="69">
        <v>300</v>
      </c>
      <c r="H8" s="103" t="s">
        <v>357</v>
      </c>
      <c r="I8" s="74">
        <v>38777</v>
      </c>
      <c r="J8" s="74">
        <f>IF(I8&lt;=DATE(2004,3,1),DATE(2004,3,1),I8)</f>
        <v>38777</v>
      </c>
      <c r="K8" s="75">
        <f t="shared" si="23"/>
        <v>16</v>
      </c>
      <c r="L8" s="76">
        <f t="shared" si="9"/>
        <v>0</v>
      </c>
      <c r="M8" s="77">
        <f t="shared" si="10"/>
        <v>0</v>
      </c>
      <c r="N8" s="78">
        <f>IF(I8="","",YEAR($I$2)-YEAR(I8)+INT((MONTH($I$2)-MONTH(I8)+INT((DAY($I$2)-DAY(I8)+1)/CHOOSE(MONTH($I$2),31,IF(MOD($I$2,1461)&lt;367,29,28),31,30,31,30,31,31,30,31,30,31)))/12))</f>
        <v>15</v>
      </c>
      <c r="O8" s="79">
        <f>IF(N8="","",MOD((MONTH($I$2)-MONTH(I8))+INT((DAY($I$2)-DAY(I8)+1)/CHOOSE(MONTH($I$2),31,IF(MOD($I$2,1461)&lt;367,29,28),31,30,31,30,31,31,30,31,30,31)),12))</f>
        <v>6</v>
      </c>
      <c r="P8" s="80">
        <f>IF(IF(O8="","",MOD(DAY($I$2)-DAY(I8)+1,CHOOSE(MONTH($I$2),31,IF(MOD($I$2,1461)&lt;367,29,28),31,30,31,30,31,31,30,31,30,31)))=30,29,IF(O8="","",MOD(DAY($I$2)-DAY(I8)+1,CHOOSE(MONTH($I$2),31,IF(MOD($I$2,1461)&lt;367,29,28),31,30,31,30,31,31,30,31,30,31))))</f>
        <v>1</v>
      </c>
      <c r="Q8" s="81">
        <v>2</v>
      </c>
      <c r="R8" s="82">
        <v>6</v>
      </c>
      <c r="S8" s="83">
        <v>13</v>
      </c>
      <c r="T8" s="369">
        <f t="shared" si="1"/>
        <v>18</v>
      </c>
      <c r="U8" s="82">
        <f t="shared" si="2"/>
        <v>0</v>
      </c>
      <c r="V8" s="83">
        <f t="shared" si="3"/>
        <v>14</v>
      </c>
      <c r="W8" s="85"/>
      <c r="X8" s="86">
        <v>40087</v>
      </c>
      <c r="Y8" s="74" t="s">
        <v>91</v>
      </c>
      <c r="Z8" s="87" t="s">
        <v>467</v>
      </c>
      <c r="AA8" s="88">
        <f>EOMONTH((DATE(YEAR(DATE(LEFT(D8,2),MID(D8,3,2),MID(D8,5,2)))+60, VLOOKUP(MONTH(DATE(LEFT(D8,2),MID(D8,3,2),MID(D8,5,2))),{1,2;3,8;9,14},2 ),1)),0)</f>
        <v>44985</v>
      </c>
      <c r="AB8" s="73" t="s">
        <v>96</v>
      </c>
      <c r="AC8" s="89">
        <v>1840000</v>
      </c>
      <c r="AD8" s="99"/>
      <c r="AE8" s="90">
        <v>30</v>
      </c>
      <c r="AF8" s="100">
        <v>30</v>
      </c>
      <c r="AG8" s="91">
        <f t="shared" si="11"/>
        <v>30</v>
      </c>
      <c r="AH8" s="101" t="s">
        <v>268</v>
      </c>
      <c r="AI8" s="93">
        <v>40</v>
      </c>
      <c r="AJ8" s="395">
        <f t="shared" si="26"/>
        <v>1840000</v>
      </c>
      <c r="AK8" s="396"/>
      <c r="AL8" s="396"/>
      <c r="AM8" s="396"/>
      <c r="AN8" s="396"/>
      <c r="AO8" s="396">
        <f t="shared" si="12"/>
        <v>630000</v>
      </c>
      <c r="AP8" s="395"/>
      <c r="AQ8" s="395">
        <f t="shared" si="24"/>
        <v>0</v>
      </c>
      <c r="AR8" s="396"/>
      <c r="AS8" s="395">
        <v>40000</v>
      </c>
      <c r="AT8" s="395"/>
      <c r="AU8" s="395">
        <f t="shared" ref="AU8:AU10" si="28">IFERROR(ROUNDDOWN($AU$2*AE8/AG8,-1),0)</f>
        <v>50000</v>
      </c>
      <c r="AV8" s="395">
        <f t="shared" si="13"/>
        <v>140000</v>
      </c>
      <c r="AW8" s="395">
        <f t="shared" si="25"/>
        <v>0</v>
      </c>
      <c r="AX8" s="395"/>
      <c r="AY8" s="395"/>
      <c r="AZ8" s="395"/>
      <c r="BA8" s="397"/>
      <c r="BB8" s="398">
        <f t="shared" si="4"/>
        <v>2700000</v>
      </c>
      <c r="BC8" s="415">
        <v>2419000</v>
      </c>
      <c r="BD8" s="400">
        <v>2515409</v>
      </c>
      <c r="BE8" s="401"/>
      <c r="BF8" s="402">
        <f t="shared" si="14"/>
        <v>0</v>
      </c>
      <c r="BG8" s="403">
        <f t="shared" si="5"/>
        <v>108850</v>
      </c>
      <c r="BH8" s="403">
        <v>84380</v>
      </c>
      <c r="BI8" s="403">
        <v>9720</v>
      </c>
      <c r="BJ8" s="403"/>
      <c r="BK8" s="403">
        <v>19680</v>
      </c>
      <c r="BL8" s="403"/>
      <c r="BM8" s="404">
        <v>900000</v>
      </c>
      <c r="BN8" s="405"/>
      <c r="BO8" s="405"/>
      <c r="BP8" s="395"/>
      <c r="BQ8" s="395">
        <f t="shared" si="6"/>
        <v>1122630</v>
      </c>
      <c r="BR8" s="406">
        <f t="shared" si="7"/>
        <v>1577370</v>
      </c>
      <c r="BS8" s="407">
        <v>2469240</v>
      </c>
      <c r="BT8" s="407">
        <f t="shared" si="17"/>
        <v>2469240</v>
      </c>
      <c r="BU8" s="408"/>
      <c r="BV8" s="408"/>
      <c r="BW8" s="410">
        <f t="shared" si="27"/>
        <v>108850</v>
      </c>
      <c r="BX8" s="410">
        <f t="shared" si="18"/>
        <v>84380</v>
      </c>
      <c r="BY8" s="410">
        <f t="shared" si="8"/>
        <v>9720</v>
      </c>
      <c r="BZ8" s="410"/>
      <c r="CA8" s="410">
        <f t="shared" si="19"/>
        <v>19680</v>
      </c>
      <c r="CB8" s="411">
        <v>20910</v>
      </c>
      <c r="CC8" s="412"/>
      <c r="CD8" s="410"/>
      <c r="CE8" s="413">
        <v>24600</v>
      </c>
      <c r="CF8" s="408">
        <f t="shared" si="20"/>
        <v>268140</v>
      </c>
      <c r="CG8" s="408"/>
      <c r="CH8" s="414">
        <f t="shared" si="21"/>
        <v>60270</v>
      </c>
      <c r="CI8" s="408">
        <f t="shared" si="22"/>
        <v>60270</v>
      </c>
      <c r="CJ8" s="408"/>
      <c r="CK8" s="408"/>
      <c r="CL8" s="408"/>
      <c r="CM8" s="95"/>
      <c r="CN8" s="67"/>
    </row>
    <row r="9" spans="1:92" s="96" customFormat="1" ht="26.1" customHeight="1">
      <c r="A9" s="68">
        <f t="shared" si="0"/>
        <v>6</v>
      </c>
      <c r="B9" s="69" t="s">
        <v>431</v>
      </c>
      <c r="C9" s="69" t="s">
        <v>94</v>
      </c>
      <c r="D9" s="70" t="s">
        <v>444</v>
      </c>
      <c r="E9" s="71" t="s">
        <v>456</v>
      </c>
      <c r="F9" s="72" t="s">
        <v>97</v>
      </c>
      <c r="G9" s="69">
        <v>300</v>
      </c>
      <c r="H9" s="103"/>
      <c r="I9" s="74">
        <v>38022</v>
      </c>
      <c r="J9" s="74">
        <f>IF(I9&lt;=DATE(2004,3,1),DATE(2004,3,1),I9)</f>
        <v>38047</v>
      </c>
      <c r="K9" s="75">
        <f t="shared" si="23"/>
        <v>18</v>
      </c>
      <c r="L9" s="76">
        <f t="shared" si="9"/>
        <v>0</v>
      </c>
      <c r="M9" s="77">
        <f t="shared" si="10"/>
        <v>0</v>
      </c>
      <c r="N9" s="78">
        <f>IF(I9="","",YEAR($I$2)-YEAR(I9)+INT((MONTH($I$2)-MONTH(I9)+INT((DAY($I$2)-DAY(I9)+1)/CHOOSE(MONTH($I$2),31,IF(MOD($I$2,1461)&lt;367,29,28),31,30,31,30,31,31,30,31,30,31)))/12))</f>
        <v>17</v>
      </c>
      <c r="O9" s="79">
        <f>IF(N9="","",MOD((MONTH($I$2)-MONTH(I9))+INT((DAY($I$2)-DAY(I9)+1)/CHOOSE(MONTH($I$2),31,IF(MOD($I$2,1461)&lt;367,29,28),31,30,31,30,31,31,30,31,30,31)),12))</f>
        <v>6</v>
      </c>
      <c r="P9" s="80">
        <f>IF(IF(O9="","",MOD(DAY($I$2)-DAY(I9)+1,CHOOSE(MONTH($I$2),31,IF(MOD($I$2,1461)&lt;367,29,28),31,30,31,30,31,31,30,31,30,31)))=30,29,IF(O9="","",MOD(DAY($I$2)-DAY(I9)+1,CHOOSE(MONTH($I$2),31,IF(MOD($I$2,1461)&lt;367,29,28),31,30,31,30,31,31,30,31,30,31))))</f>
        <v>27</v>
      </c>
      <c r="Q9" s="81">
        <v>6</v>
      </c>
      <c r="R9" s="82">
        <v>6</v>
      </c>
      <c r="S9" s="83">
        <v>25</v>
      </c>
      <c r="T9" s="369">
        <f t="shared" si="1"/>
        <v>24</v>
      </c>
      <c r="U9" s="82">
        <f t="shared" si="2"/>
        <v>1</v>
      </c>
      <c r="V9" s="83">
        <f t="shared" si="3"/>
        <v>22</v>
      </c>
      <c r="W9" s="85"/>
      <c r="X9" s="86">
        <v>39356</v>
      </c>
      <c r="Y9" s="74" t="s">
        <v>98</v>
      </c>
      <c r="Z9" s="87" t="s">
        <v>468</v>
      </c>
      <c r="AA9" s="88">
        <f>EOMONTH((DATE(YEAR(DATE(LEFT(D9,2),MID(D9,3,2),MID(D9,5,2)))+60, VLOOKUP(MONTH(DATE(LEFT(D9,2),MID(D9,3,2),MID(D9,5,2))),{1,2;3,8;9,14},2 ),1)),0)</f>
        <v>44985</v>
      </c>
      <c r="AB9" s="73" t="s">
        <v>99</v>
      </c>
      <c r="AC9" s="89">
        <v>1840000</v>
      </c>
      <c r="AD9" s="99"/>
      <c r="AE9" s="90">
        <v>30</v>
      </c>
      <c r="AF9" s="100">
        <v>30</v>
      </c>
      <c r="AG9" s="91">
        <f t="shared" si="11"/>
        <v>30</v>
      </c>
      <c r="AH9" s="101" t="s">
        <v>267</v>
      </c>
      <c r="AI9" s="93">
        <v>40</v>
      </c>
      <c r="AJ9" s="395">
        <f t="shared" si="26"/>
        <v>1840000</v>
      </c>
      <c r="AK9" s="396"/>
      <c r="AL9" s="396"/>
      <c r="AM9" s="396"/>
      <c r="AN9" s="396"/>
      <c r="AO9" s="396">
        <f t="shared" si="12"/>
        <v>700000</v>
      </c>
      <c r="AP9" s="395"/>
      <c r="AQ9" s="395">
        <f t="shared" si="24"/>
        <v>0</v>
      </c>
      <c r="AR9" s="396"/>
      <c r="AS9" s="395"/>
      <c r="AT9" s="395"/>
      <c r="AU9" s="395">
        <f t="shared" si="28"/>
        <v>50000</v>
      </c>
      <c r="AV9" s="395">
        <f t="shared" si="13"/>
        <v>140000</v>
      </c>
      <c r="AW9" s="395">
        <f t="shared" si="25"/>
        <v>0</v>
      </c>
      <c r="AX9" s="395"/>
      <c r="AY9" s="395"/>
      <c r="AZ9" s="395"/>
      <c r="BA9" s="397"/>
      <c r="BB9" s="398">
        <f>SUM(AJ9:AY9)+AZ9</f>
        <v>2730000</v>
      </c>
      <c r="BC9" s="415">
        <v>2500000</v>
      </c>
      <c r="BD9" s="400">
        <v>2384000</v>
      </c>
      <c r="BE9" s="401"/>
      <c r="BF9" s="402">
        <f t="shared" si="14"/>
        <v>0</v>
      </c>
      <c r="BG9" s="403">
        <f t="shared" si="5"/>
        <v>112500</v>
      </c>
      <c r="BH9" s="403">
        <v>87190</v>
      </c>
      <c r="BI9" s="403">
        <v>10040</v>
      </c>
      <c r="BJ9" s="403"/>
      <c r="BK9" s="403">
        <v>20330</v>
      </c>
      <c r="BL9" s="403"/>
      <c r="BM9" s="404">
        <v>600000</v>
      </c>
      <c r="BN9" s="405"/>
      <c r="BO9" s="405"/>
      <c r="BP9" s="395"/>
      <c r="BQ9" s="395">
        <f t="shared" si="6"/>
        <v>830060</v>
      </c>
      <c r="BR9" s="406">
        <f t="shared" si="7"/>
        <v>1899940</v>
      </c>
      <c r="BS9" s="407">
        <v>2417475</v>
      </c>
      <c r="BT9" s="407">
        <f t="shared" si="17"/>
        <v>2417475</v>
      </c>
      <c r="BU9" s="408"/>
      <c r="BV9" s="408"/>
      <c r="BW9" s="410">
        <f t="shared" si="27"/>
        <v>112500</v>
      </c>
      <c r="BX9" s="410">
        <f t="shared" si="18"/>
        <v>87190</v>
      </c>
      <c r="BY9" s="410">
        <f t="shared" ref="BY9:CA14" si="29">BI9</f>
        <v>10040</v>
      </c>
      <c r="BZ9" s="410"/>
      <c r="CA9" s="410">
        <f t="shared" si="19"/>
        <v>20330</v>
      </c>
      <c r="CB9" s="411">
        <v>21600</v>
      </c>
      <c r="CC9" s="412"/>
      <c r="CD9" s="410"/>
      <c r="CE9" s="413">
        <v>25420</v>
      </c>
      <c r="CF9" s="408">
        <f t="shared" si="20"/>
        <v>277080</v>
      </c>
      <c r="CG9" s="408"/>
      <c r="CH9" s="414">
        <f t="shared" si="21"/>
        <v>62260</v>
      </c>
      <c r="CI9" s="408">
        <f t="shared" si="22"/>
        <v>62260</v>
      </c>
      <c r="CJ9" s="408"/>
      <c r="CK9" s="408"/>
      <c r="CL9" s="408"/>
      <c r="CM9" s="95"/>
      <c r="CN9" s="67"/>
    </row>
    <row r="10" spans="1:92" s="105" customFormat="1" ht="26.1" customHeight="1">
      <c r="A10" s="68">
        <f t="shared" si="0"/>
        <v>7</v>
      </c>
      <c r="B10" s="69" t="s">
        <v>432</v>
      </c>
      <c r="C10" s="69" t="s">
        <v>100</v>
      </c>
      <c r="D10" s="70" t="s">
        <v>445</v>
      </c>
      <c r="E10" s="71" t="s">
        <v>457</v>
      </c>
      <c r="F10" s="72" t="s">
        <v>97</v>
      </c>
      <c r="G10" s="69">
        <v>300</v>
      </c>
      <c r="H10" s="103" t="s">
        <v>358</v>
      </c>
      <c r="I10" s="74">
        <v>38018</v>
      </c>
      <c r="J10" s="74">
        <f>IF(I10&lt;=DATE(2004,3,1),DATE(2004,3,1),I10)</f>
        <v>38047</v>
      </c>
      <c r="K10" s="75">
        <f>IF(J10="","",YEAR($J$2)-YEAR(J10)+INT((MONTH($J$2)-MONTH(J10)+INT((DAY($J$2)-DAY(J10)+1)/CHOOSE(MONTH($J$2),31,IF(MOD($J$2,1461)&lt;367,29,28),31,30,31,30,31,31,30,31,30,31)))/12))</f>
        <v>18</v>
      </c>
      <c r="L10" s="76">
        <f>IF(K10="","",MOD((MONTH($J$2)-MONTH(J10))+INT((DAY($J$2)-DAY(J10)+1)/CHOOSE(MONTH($J$2),31,IF(MOD($J$2,1461)&lt;367,29,28),31,30,31,30,31,31,30,31,30,31)),12))</f>
        <v>0</v>
      </c>
      <c r="M10" s="77">
        <f>IF(IF(L10="","",MOD(DAY($J$2)-DAY(J10)+1,CHOOSE(MONTH($J$2),31,IF(MOD($J$2,1461)&lt;367,29,28),31,30,31,30,31,31,30,31,30,31)))=30,29,IF(L10="","",MOD(DAY($J$2)-DAY(J10)+1,CHOOSE(MONTH($J$2),31,IF(MOD($J$2,1461)&lt;367,29,28),31,30,31,30,31,31,30,31,30,31))))</f>
        <v>0</v>
      </c>
      <c r="N10" s="78">
        <f>IF(I10="","",YEAR($I$2)-YEAR(I10)+INT((MONTH($I$2)-MONTH(I10)+INT((DAY($I$2)-DAY(I10)+1)/CHOOSE(MONTH($I$2),31,IF(MOD($I$2,1461)&lt;367,29,28),31,30,31,30,31,31,30,31,30,31)))/12))</f>
        <v>17</v>
      </c>
      <c r="O10" s="79">
        <f>IF(N10="","",MOD((MONTH($I$2)-MONTH(I10))+INT((DAY($I$2)-DAY(I10)+1)/CHOOSE(MONTH($I$2),31,IF(MOD($I$2,1461)&lt;367,29,28),31,30,31,30,31,31,30,31,30,31)),12))</f>
        <v>7</v>
      </c>
      <c r="P10" s="80">
        <f>IF(IF(O10="","",MOD(DAY($I$2)-DAY(I10)+1,CHOOSE(MONTH($I$2),31,IF(MOD($I$2,1461)&lt;367,29,28),31,30,31,30,31,31,30,31,30,31)))=30,29,IF(O10="","",MOD(DAY($I$2)-DAY(I10)+1,CHOOSE(MONTH($I$2),31,IF(MOD($I$2,1461)&lt;367,29,28),31,30,31,30,31,31,30,31,30,31))))</f>
        <v>1</v>
      </c>
      <c r="Q10" s="81">
        <v>8</v>
      </c>
      <c r="R10" s="82">
        <v>6</v>
      </c>
      <c r="S10" s="83">
        <v>14</v>
      </c>
      <c r="T10" s="369">
        <f>SUM(N10,Q10)+INT((SUM(O10,R10)+INT(SUM(P10,S10)/30))/12)</f>
        <v>26</v>
      </c>
      <c r="U10" s="82">
        <f>MOD(INT(SUM(P10,S10)/30)+SUM(O10,R10),12)</f>
        <v>1</v>
      </c>
      <c r="V10" s="83">
        <f>MOD(SUM(P10,S10),30)</f>
        <v>15</v>
      </c>
      <c r="W10" s="85"/>
      <c r="X10" s="86">
        <v>39356</v>
      </c>
      <c r="Y10" s="74" t="s">
        <v>98</v>
      </c>
      <c r="Z10" s="87" t="s">
        <v>469</v>
      </c>
      <c r="AA10" s="97">
        <f>EOMONTH((DATE(YEAR(DATE(LEFT(D10,2),MID(D10,3,2),MID(D10,5,2)))+60, VLOOKUP(MONTH(DATE(LEFT(D10,2),MID(D10,3,2),MID(D10,5,2))),{1,2;3,8;9,14},2 ),1)),0)</f>
        <v>46996</v>
      </c>
      <c r="AB10" s="103" t="s">
        <v>99</v>
      </c>
      <c r="AC10" s="89">
        <v>1840000</v>
      </c>
      <c r="AD10" s="90"/>
      <c r="AE10" s="90">
        <v>30</v>
      </c>
      <c r="AF10" s="100">
        <v>30</v>
      </c>
      <c r="AG10" s="91">
        <f t="shared" si="11"/>
        <v>30</v>
      </c>
      <c r="AH10" s="101" t="s">
        <v>267</v>
      </c>
      <c r="AI10" s="104">
        <v>40</v>
      </c>
      <c r="AJ10" s="395">
        <f t="shared" si="26"/>
        <v>1840000</v>
      </c>
      <c r="AK10" s="395"/>
      <c r="AL10" s="395"/>
      <c r="AM10" s="395"/>
      <c r="AN10" s="395"/>
      <c r="AO10" s="396">
        <f t="shared" si="12"/>
        <v>700000</v>
      </c>
      <c r="AP10" s="395"/>
      <c r="AQ10" s="395">
        <f t="shared" si="24"/>
        <v>0</v>
      </c>
      <c r="AR10" s="396"/>
      <c r="AS10" s="395">
        <v>40000</v>
      </c>
      <c r="AT10" s="395"/>
      <c r="AU10" s="395">
        <f t="shared" si="28"/>
        <v>50000</v>
      </c>
      <c r="AV10" s="395">
        <f t="shared" si="13"/>
        <v>140000</v>
      </c>
      <c r="AW10" s="395">
        <f t="shared" si="25"/>
        <v>0</v>
      </c>
      <c r="AX10" s="395"/>
      <c r="AY10" s="395"/>
      <c r="AZ10" s="395"/>
      <c r="BA10" s="397"/>
      <c r="BB10" s="398">
        <f t="shared" si="4"/>
        <v>2770000</v>
      </c>
      <c r="BC10" s="415">
        <v>2431000</v>
      </c>
      <c r="BD10" s="400">
        <v>2472056</v>
      </c>
      <c r="BE10" s="401"/>
      <c r="BF10" s="402">
        <f t="shared" si="14"/>
        <v>0</v>
      </c>
      <c r="BG10" s="403">
        <f t="shared" si="5"/>
        <v>109390</v>
      </c>
      <c r="BH10" s="403">
        <f t="shared" si="15"/>
        <v>84790</v>
      </c>
      <c r="BI10" s="403">
        <f t="shared" si="16"/>
        <v>9760</v>
      </c>
      <c r="BJ10" s="403"/>
      <c r="BK10" s="403">
        <v>19770</v>
      </c>
      <c r="BL10" s="403"/>
      <c r="BM10" s="404">
        <v>600000</v>
      </c>
      <c r="BN10" s="405"/>
      <c r="BO10" s="405"/>
      <c r="BP10" s="395"/>
      <c r="BQ10" s="395">
        <f>SUM(BE10:BP10)</f>
        <v>823710</v>
      </c>
      <c r="BR10" s="406">
        <f>BB10-BQ10</f>
        <v>1946290</v>
      </c>
      <c r="BS10" s="407">
        <v>2601100</v>
      </c>
      <c r="BT10" s="407">
        <f t="shared" si="17"/>
        <v>2601100</v>
      </c>
      <c r="BU10" s="408"/>
      <c r="BV10" s="408"/>
      <c r="BW10" s="413">
        <f t="shared" ref="BW10:BW14" si="30">BG10</f>
        <v>109390</v>
      </c>
      <c r="BX10" s="410">
        <f t="shared" si="18"/>
        <v>84790</v>
      </c>
      <c r="BY10" s="410">
        <f t="shared" si="29"/>
        <v>9760</v>
      </c>
      <c r="BZ10" s="410"/>
      <c r="CA10" s="410">
        <f t="shared" si="19"/>
        <v>19770</v>
      </c>
      <c r="CB10" s="411">
        <v>21010</v>
      </c>
      <c r="CC10" s="412"/>
      <c r="CD10" s="410"/>
      <c r="CE10" s="413">
        <v>24720</v>
      </c>
      <c r="CF10" s="408">
        <f>SUM(BW10:CE10)</f>
        <v>269440</v>
      </c>
      <c r="CG10" s="408"/>
      <c r="CH10" s="414">
        <f>BK10+CA10+CB10</f>
        <v>60550</v>
      </c>
      <c r="CI10" s="408">
        <f>CD10+CH10</f>
        <v>60550</v>
      </c>
      <c r="CJ10" s="408"/>
      <c r="CK10" s="408"/>
      <c r="CL10" s="408"/>
      <c r="CM10" s="95"/>
      <c r="CN10" s="67"/>
    </row>
    <row r="11" spans="1:92" s="96" customFormat="1" ht="26.1" customHeight="1">
      <c r="A11" s="68">
        <f t="shared" si="0"/>
        <v>8</v>
      </c>
      <c r="B11" s="69" t="s">
        <v>433</v>
      </c>
      <c r="C11" s="69" t="s">
        <v>101</v>
      </c>
      <c r="D11" s="70" t="s">
        <v>446</v>
      </c>
      <c r="E11" s="71" t="s">
        <v>458</v>
      </c>
      <c r="F11" s="72" t="s">
        <v>97</v>
      </c>
      <c r="G11" s="69">
        <f>VLOOKUP(DATE(YEAR($I$1),3,1),$E$48:$F$72,2,0)</f>
        <v>365</v>
      </c>
      <c r="H11" s="103"/>
      <c r="I11" s="74">
        <v>42795</v>
      </c>
      <c r="J11" s="74">
        <v>43891</v>
      </c>
      <c r="K11" s="75">
        <f t="shared" si="23"/>
        <v>2</v>
      </c>
      <c r="L11" s="76">
        <f t="shared" si="9"/>
        <v>0</v>
      </c>
      <c r="M11" s="77">
        <f t="shared" si="10"/>
        <v>0</v>
      </c>
      <c r="N11" s="78">
        <f>IF(J11="","",YEAR($I$2)-YEAR(J11)+INT((MONTH($I$2)-MONTH(J11)+INT((DAY($I$2)-DAY(J11)+1)/CHOOSE(MONTH($I$2),31,IF(MOD($I$2,1461)&lt;367,29,28),31,30,31,30,31,31,30,31,30,31)))/12))</f>
        <v>1</v>
      </c>
      <c r="O11" s="79">
        <f>IF(N11="","",MOD((MONTH($I$2)-MONTH(J11))+INT((DAY($I$2)-DAY(J11)+1)/CHOOSE(MONTH($I$2),31,IF(MOD($I$2,1461)&lt;367,29,28),31,30,31,30,31,31,30,31,30,31)),12))</f>
        <v>6</v>
      </c>
      <c r="P11" s="80">
        <f>IF(IF(O11="","",MOD(DAY($I$2)-DAY(J11)+1,CHOOSE(MONTH($I$2),31,IF(MOD($I$2,1461)&lt;367,29,28),31,30,31,30,31,31,30,31,30,31)))=30,29,IF(O11="","",MOD(DAY($I$2)-DAY(J11)+1,CHOOSE(MONTH($I$2),31,IF(MOD($I$2,1461)&lt;367,29,28),31,30,31,30,31,31,30,31,30,31))))</f>
        <v>1</v>
      </c>
      <c r="Q11" s="81"/>
      <c r="R11" s="82"/>
      <c r="S11" s="83"/>
      <c r="T11" s="369">
        <f t="shared" si="1"/>
        <v>1</v>
      </c>
      <c r="U11" s="82">
        <f t="shared" si="2"/>
        <v>6</v>
      </c>
      <c r="V11" s="83">
        <f t="shared" si="3"/>
        <v>1</v>
      </c>
      <c r="W11" s="85"/>
      <c r="X11" s="86">
        <v>43160</v>
      </c>
      <c r="Y11" s="74" t="s">
        <v>98</v>
      </c>
      <c r="Z11" s="102" t="s">
        <v>470</v>
      </c>
      <c r="AA11" s="97">
        <f>EOMONTH((DATE(YEAR(DATE(LEFT(D11,2),MID(D11,3,2),MID(D11,5,2)))+60, VLOOKUP(MONTH(DATE(LEFT(D11,2),MID(D11,3,2),MID(D11,5,2))),{1,2;3,8;9,14},2 ),1)),0)</f>
        <v>49003</v>
      </c>
      <c r="AB11" s="103" t="s">
        <v>102</v>
      </c>
      <c r="AC11" s="89">
        <v>920000</v>
      </c>
      <c r="AD11" s="90"/>
      <c r="AE11" s="90"/>
      <c r="AF11" s="100">
        <v>30</v>
      </c>
      <c r="AG11" s="91">
        <f t="shared" si="11"/>
        <v>30</v>
      </c>
      <c r="AH11" s="91"/>
      <c r="AI11" s="104">
        <v>20</v>
      </c>
      <c r="AJ11" s="395">
        <f>ROUNDDOWN(AC11*AF11/AG11,-1)</f>
        <v>920000</v>
      </c>
      <c r="AK11" s="396"/>
      <c r="AL11" s="396"/>
      <c r="AM11" s="396"/>
      <c r="AN11" s="396"/>
      <c r="AO11" s="396">
        <f t="shared" si="12"/>
        <v>17500</v>
      </c>
      <c r="AP11" s="395"/>
      <c r="AQ11" s="395">
        <f t="shared" si="24"/>
        <v>0</v>
      </c>
      <c r="AR11" s="396"/>
      <c r="AS11" s="395"/>
      <c r="AT11" s="395"/>
      <c r="AU11" s="395"/>
      <c r="AV11" s="395">
        <f t="shared" si="13"/>
        <v>140000</v>
      </c>
      <c r="AW11" s="395">
        <f>IF(OR(MONTH($C$2)=$AW$1,MONTH($C$2)=$AW$2),$AX$2*AI11/40,0)</f>
        <v>0</v>
      </c>
      <c r="AX11" s="395"/>
      <c r="AY11" s="395"/>
      <c r="AZ11" s="395"/>
      <c r="BA11" s="397"/>
      <c r="BB11" s="398">
        <f t="shared" ref="BB11:BB15" si="31">SUM(AJ11:AY11)+AZ11</f>
        <v>1077500</v>
      </c>
      <c r="BC11" s="415">
        <v>694000</v>
      </c>
      <c r="BD11" s="400">
        <v>706055</v>
      </c>
      <c r="BE11" s="401"/>
      <c r="BF11" s="402">
        <f t="shared" si="14"/>
        <v>0</v>
      </c>
      <c r="BG11" s="403">
        <f t="shared" si="5"/>
        <v>31230</v>
      </c>
      <c r="BH11" s="403">
        <f t="shared" si="15"/>
        <v>24210</v>
      </c>
      <c r="BI11" s="403">
        <f t="shared" si="16"/>
        <v>2780</v>
      </c>
      <c r="BJ11" s="403"/>
      <c r="BK11" s="403">
        <v>5640</v>
      </c>
      <c r="BL11" s="403"/>
      <c r="BM11" s="404"/>
      <c r="BN11" s="405"/>
      <c r="BO11" s="405"/>
      <c r="BP11" s="395"/>
      <c r="BQ11" s="395">
        <f t="shared" ref="BQ11:BQ16" si="32">SUM(BE11:BP11)</f>
        <v>63860</v>
      </c>
      <c r="BR11" s="406">
        <f t="shared" si="7"/>
        <v>1013640</v>
      </c>
      <c r="BS11" s="407">
        <v>860666</v>
      </c>
      <c r="BT11" s="407">
        <f t="shared" si="17"/>
        <v>860666</v>
      </c>
      <c r="BU11" s="408"/>
      <c r="BV11" s="408"/>
      <c r="BW11" s="410">
        <f t="shared" si="30"/>
        <v>31230</v>
      </c>
      <c r="BX11" s="410">
        <f t="shared" si="18"/>
        <v>24210</v>
      </c>
      <c r="BY11" s="410">
        <f t="shared" si="29"/>
        <v>2780</v>
      </c>
      <c r="BZ11" s="410"/>
      <c r="CA11" s="410">
        <f t="shared" si="19"/>
        <v>5640</v>
      </c>
      <c r="CB11" s="411">
        <v>6000</v>
      </c>
      <c r="CC11" s="412"/>
      <c r="CD11" s="410"/>
      <c r="CE11" s="413">
        <v>7060</v>
      </c>
      <c r="CF11" s="408">
        <f t="shared" si="20"/>
        <v>76920</v>
      </c>
      <c r="CG11" s="408"/>
      <c r="CH11" s="414">
        <f t="shared" si="21"/>
        <v>17280</v>
      </c>
      <c r="CI11" s="408">
        <f t="shared" si="22"/>
        <v>17280</v>
      </c>
      <c r="CJ11" s="408"/>
      <c r="CK11" s="408"/>
      <c r="CL11" s="408"/>
      <c r="CM11" s="95"/>
      <c r="CN11" s="67"/>
    </row>
    <row r="12" spans="1:92" s="105" customFormat="1" ht="26.1" customHeight="1">
      <c r="A12" s="68">
        <f t="shared" si="0"/>
        <v>9</v>
      </c>
      <c r="B12" s="69" t="s">
        <v>434</v>
      </c>
      <c r="C12" s="69" t="s">
        <v>101</v>
      </c>
      <c r="D12" s="70" t="s">
        <v>447</v>
      </c>
      <c r="E12" s="71" t="s">
        <v>459</v>
      </c>
      <c r="F12" s="72" t="s">
        <v>97</v>
      </c>
      <c r="G12" s="69">
        <f>VLOOKUP(DATE(YEAR($I$1),3,1),$E$48:$F$72,2,0)</f>
        <v>365</v>
      </c>
      <c r="H12" s="103" t="s">
        <v>356</v>
      </c>
      <c r="I12" s="74">
        <v>42795</v>
      </c>
      <c r="J12" s="74">
        <v>43891</v>
      </c>
      <c r="K12" s="75">
        <f t="shared" si="23"/>
        <v>2</v>
      </c>
      <c r="L12" s="76">
        <f t="shared" si="9"/>
        <v>0</v>
      </c>
      <c r="M12" s="77">
        <f t="shared" si="10"/>
        <v>0</v>
      </c>
      <c r="N12" s="78">
        <f>IF(J12="","",YEAR($I$2)-YEAR(J12)+INT((MONTH($I$2)-MONTH(J12)+INT((DAY($I$2)-DAY(J12)+1)/CHOOSE(MONTH($I$2),31,IF(MOD($I$2,1461)&lt;367,29,28),31,30,31,30,31,31,30,31,30,31)))/12))</f>
        <v>1</v>
      </c>
      <c r="O12" s="79">
        <f>IF(N12="","",MOD((MONTH($I$2)-MONTH(J12))+INT((DAY($I$2)-DAY(J12)+1)/CHOOSE(MONTH($I$2),31,IF(MOD($I$2,1461)&lt;367,29,28),31,30,31,30,31,31,30,31,30,31)),12))</f>
        <v>6</v>
      </c>
      <c r="P12" s="80">
        <f>IF(IF(O12="","",MOD(DAY($I$2)-DAY(J12)+1,CHOOSE(MONTH($I$2),31,IF(MOD($I$2,1461)&lt;367,29,28),31,30,31,30,31,31,30,31,30,31)))=30,29,IF(O12="","",MOD(DAY($I$2)-DAY(J12)+1,CHOOSE(MONTH($I$2),31,IF(MOD($I$2,1461)&lt;367,29,28),31,30,31,30,31,31,30,31,30,31))))</f>
        <v>1</v>
      </c>
      <c r="Q12" s="81"/>
      <c r="R12" s="82"/>
      <c r="S12" s="83"/>
      <c r="T12" s="369">
        <f t="shared" si="1"/>
        <v>1</v>
      </c>
      <c r="U12" s="82">
        <f t="shared" si="2"/>
        <v>6</v>
      </c>
      <c r="V12" s="83">
        <f t="shared" si="3"/>
        <v>1</v>
      </c>
      <c r="W12" s="85"/>
      <c r="X12" s="86">
        <v>43160</v>
      </c>
      <c r="Y12" s="74" t="s">
        <v>98</v>
      </c>
      <c r="Z12" s="87" t="s">
        <v>471</v>
      </c>
      <c r="AA12" s="97">
        <f>EOMONTH((DATE(YEAR(DATE(LEFT(D12,2),MID(D12,3,2),MID(D12,5,2)))+60, VLOOKUP(MONTH(DATE(LEFT(D12,2),MID(D12,3,2),MID(D12,5,2))),{1,2;3,8;9,14},2 ),1)),0)</f>
        <v>47907</v>
      </c>
      <c r="AB12" s="103" t="s">
        <v>102</v>
      </c>
      <c r="AC12" s="89">
        <v>920000</v>
      </c>
      <c r="AD12" s="90"/>
      <c r="AE12" s="90"/>
      <c r="AF12" s="100">
        <v>30</v>
      </c>
      <c r="AG12" s="91">
        <f t="shared" si="11"/>
        <v>30</v>
      </c>
      <c r="AH12" s="91"/>
      <c r="AI12" s="390">
        <v>20</v>
      </c>
      <c r="AJ12" s="395">
        <f>ROUNDDOWN(AC12*AF12/AG12,-1)</f>
        <v>920000</v>
      </c>
      <c r="AK12" s="395"/>
      <c r="AL12" s="395"/>
      <c r="AM12" s="395"/>
      <c r="AN12" s="395"/>
      <c r="AO12" s="396">
        <f t="shared" si="12"/>
        <v>17500</v>
      </c>
      <c r="AP12" s="395"/>
      <c r="AQ12" s="395">
        <f t="shared" si="24"/>
        <v>0</v>
      </c>
      <c r="AR12" s="396"/>
      <c r="AS12" s="395">
        <v>20000</v>
      </c>
      <c r="AT12" s="395"/>
      <c r="AU12" s="395"/>
      <c r="AV12" s="395">
        <f t="shared" si="13"/>
        <v>140000</v>
      </c>
      <c r="AW12" s="395">
        <f>IF(OR(MONTH($C$2)=$AW$1,MONTH($C$2)=$AW$2),$AX$2*AI12/40,0)</f>
        <v>0</v>
      </c>
      <c r="AX12" s="395"/>
      <c r="AY12" s="395"/>
      <c r="AZ12" s="395"/>
      <c r="BA12" s="397"/>
      <c r="BB12" s="398">
        <f t="shared" si="31"/>
        <v>1097500</v>
      </c>
      <c r="BC12" s="415">
        <v>720000</v>
      </c>
      <c r="BD12" s="400">
        <v>732315</v>
      </c>
      <c r="BE12" s="401"/>
      <c r="BF12" s="402">
        <f t="shared" si="14"/>
        <v>0</v>
      </c>
      <c r="BG12" s="403">
        <f t="shared" si="5"/>
        <v>32400</v>
      </c>
      <c r="BH12" s="403">
        <f t="shared" si="15"/>
        <v>25110</v>
      </c>
      <c r="BI12" s="403">
        <f t="shared" si="16"/>
        <v>2890</v>
      </c>
      <c r="BJ12" s="403"/>
      <c r="BK12" s="403">
        <v>5850</v>
      </c>
      <c r="BL12" s="403"/>
      <c r="BM12" s="404"/>
      <c r="BN12" s="405"/>
      <c r="BO12" s="405"/>
      <c r="BP12" s="395"/>
      <c r="BQ12" s="395">
        <f t="shared" si="32"/>
        <v>66250</v>
      </c>
      <c r="BR12" s="406">
        <f t="shared" si="7"/>
        <v>1031250</v>
      </c>
      <c r="BS12" s="407">
        <v>873416</v>
      </c>
      <c r="BT12" s="407">
        <f t="shared" si="17"/>
        <v>873416</v>
      </c>
      <c r="BU12" s="408"/>
      <c r="BV12" s="408"/>
      <c r="BW12" s="410">
        <f t="shared" si="30"/>
        <v>32400</v>
      </c>
      <c r="BX12" s="410">
        <f t="shared" si="18"/>
        <v>25110</v>
      </c>
      <c r="BY12" s="410">
        <f t="shared" si="29"/>
        <v>2890</v>
      </c>
      <c r="BZ12" s="410"/>
      <c r="CA12" s="410">
        <f t="shared" si="19"/>
        <v>5850</v>
      </c>
      <c r="CB12" s="411">
        <v>6220</v>
      </c>
      <c r="CC12" s="412"/>
      <c r="CD12" s="410"/>
      <c r="CE12" s="413">
        <v>7320</v>
      </c>
      <c r="CF12" s="408">
        <f t="shared" si="20"/>
        <v>79790</v>
      </c>
      <c r="CG12" s="408"/>
      <c r="CH12" s="414">
        <f t="shared" si="21"/>
        <v>17920</v>
      </c>
      <c r="CI12" s="408">
        <f t="shared" si="22"/>
        <v>17920</v>
      </c>
      <c r="CJ12" s="408"/>
      <c r="CK12" s="408"/>
      <c r="CL12" s="408"/>
      <c r="CM12" s="95"/>
      <c r="CN12" s="67"/>
    </row>
    <row r="13" spans="1:92" s="96" customFormat="1" ht="26.1" customHeight="1">
      <c r="A13" s="68">
        <f t="shared" si="0"/>
        <v>10</v>
      </c>
      <c r="B13" s="69" t="s">
        <v>435</v>
      </c>
      <c r="C13" s="69" t="s">
        <v>361</v>
      </c>
      <c r="D13" s="70" t="s">
        <v>448</v>
      </c>
      <c r="E13" s="71" t="s">
        <v>460</v>
      </c>
      <c r="F13" s="72" t="s">
        <v>261</v>
      </c>
      <c r="G13" s="69">
        <v>300</v>
      </c>
      <c r="H13" s="497" t="s">
        <v>360</v>
      </c>
      <c r="I13" s="74">
        <v>43891</v>
      </c>
      <c r="J13" s="74"/>
      <c r="K13" s="78" t="str">
        <f t="shared" si="23"/>
        <v/>
      </c>
      <c r="L13" s="79" t="str">
        <f t="shared" si="9"/>
        <v/>
      </c>
      <c r="M13" s="80" t="str">
        <f t="shared" si="10"/>
        <v/>
      </c>
      <c r="N13" s="78" t="str">
        <f>IF(J13="","",YEAR($I$2)-YEAR(J13)+INT((MONTH($I$2)-MONTH(J13)+INT((DAY($I$2)-DAY(J13)+1)/CHOOSE(MONTH($I$2),31,IF(MOD($I$2,1461)&lt;367,29,28),31,30,31,30,31,31,30,31,30,31)))/12))</f>
        <v/>
      </c>
      <c r="O13" s="79" t="str">
        <f>IF(N13="","",MOD((MONTH($I$2)-MONTH(I13))+INT((DAY($I$2)-DAY(I13)+1)/CHOOSE(MONTH($I$2),31,IF(MOD($I$2,1461)&lt;367,29,28),31,30,31,30,31,31,30,31,30,31)),12))</f>
        <v/>
      </c>
      <c r="P13" s="80" t="str">
        <f>IF(IF(O13="","",MOD(DAY($I$2)-DAY(I13)+1,CHOOSE(MONTH($I$2),31,IF(MOD($I$2,1461)&lt;367,29,28),31,30,31,30,31,31,30,31,30,31)))=30,29,IF(O13="","",MOD(DAY($I$2)-DAY(I13)+1,CHOOSE(MONTH($I$2),31,IF(MOD($I$2,1461)&lt;367,29,28),31,30,31,30,31,31,30,31,30,31))))</f>
        <v/>
      </c>
      <c r="Q13" s="81"/>
      <c r="R13" s="82"/>
      <c r="S13" s="83"/>
      <c r="T13" s="369">
        <f t="shared" si="1"/>
        <v>0</v>
      </c>
      <c r="U13" s="82">
        <f t="shared" si="2"/>
        <v>0</v>
      </c>
      <c r="V13" s="83">
        <f t="shared" si="3"/>
        <v>0</v>
      </c>
      <c r="W13" s="106" t="s">
        <v>103</v>
      </c>
      <c r="X13" s="74"/>
      <c r="Y13" s="74" t="s">
        <v>98</v>
      </c>
      <c r="Z13" s="87" t="s">
        <v>472</v>
      </c>
      <c r="AA13" s="107" t="s">
        <v>416</v>
      </c>
      <c r="AB13" s="73" t="s">
        <v>102</v>
      </c>
      <c r="AC13" s="89">
        <v>2039000</v>
      </c>
      <c r="AD13" s="90"/>
      <c r="AE13" s="90"/>
      <c r="AF13" s="100">
        <v>30</v>
      </c>
      <c r="AG13" s="91">
        <f t="shared" si="11"/>
        <v>30</v>
      </c>
      <c r="AH13" s="91"/>
      <c r="AI13" s="391">
        <v>20</v>
      </c>
      <c r="AJ13" s="395">
        <f>2139000*20/40</f>
        <v>1069500</v>
      </c>
      <c r="AK13" s="396"/>
      <c r="AL13" s="396"/>
      <c r="AM13" s="396">
        <f>250000*20/40</f>
        <v>125000</v>
      </c>
      <c r="AN13" s="396">
        <f>70000*20/40</f>
        <v>35000</v>
      </c>
      <c r="AO13" s="396">
        <f t="shared" si="12"/>
        <v>0</v>
      </c>
      <c r="AP13" s="395"/>
      <c r="AQ13" s="396">
        <f>IF(OR(MONTH($C$2)=$AQ$1,MONTH($C$2)=$AQ$2),(AJ13*60%),0)</f>
        <v>0</v>
      </c>
      <c r="AR13" s="395"/>
      <c r="AS13" s="395">
        <f>20000+50000</f>
        <v>70000</v>
      </c>
      <c r="AT13" s="395"/>
      <c r="AU13" s="395"/>
      <c r="AV13" s="395">
        <f>IFERROR(ROUNDDOWN($AV$2*AF13/AG13,-1),0)/2</f>
        <v>70000</v>
      </c>
      <c r="AW13" s="395"/>
      <c r="AX13" s="395"/>
      <c r="AY13" s="395"/>
      <c r="AZ13" s="395"/>
      <c r="BA13" s="397"/>
      <c r="BB13" s="398">
        <f>SUM(AJ13:AY13)+AZ13</f>
        <v>1369500</v>
      </c>
      <c r="BC13" s="415">
        <v>1206000</v>
      </c>
      <c r="BD13" s="400">
        <v>1226479</v>
      </c>
      <c r="BE13" s="401"/>
      <c r="BF13" s="402">
        <f t="shared" si="14"/>
        <v>0</v>
      </c>
      <c r="BG13" s="403">
        <f t="shared" si="5"/>
        <v>54270</v>
      </c>
      <c r="BH13" s="403">
        <f t="shared" si="15"/>
        <v>42060</v>
      </c>
      <c r="BI13" s="403">
        <f t="shared" si="16"/>
        <v>4840</v>
      </c>
      <c r="BJ13" s="403"/>
      <c r="BK13" s="403">
        <v>11770</v>
      </c>
      <c r="BL13" s="403"/>
      <c r="BM13" s="404"/>
      <c r="BN13" s="405"/>
      <c r="BO13" s="405"/>
      <c r="BP13" s="395"/>
      <c r="BQ13" s="395">
        <f t="shared" si="32"/>
        <v>112940</v>
      </c>
      <c r="BR13" s="416">
        <f t="shared" si="7"/>
        <v>1256560</v>
      </c>
      <c r="BS13" s="407">
        <v>1471775</v>
      </c>
      <c r="BT13" s="407">
        <f t="shared" si="17"/>
        <v>1471775</v>
      </c>
      <c r="BU13" s="408"/>
      <c r="BV13" s="408"/>
      <c r="BW13" s="410">
        <f t="shared" si="30"/>
        <v>54270</v>
      </c>
      <c r="BX13" s="410">
        <f t="shared" si="18"/>
        <v>42060</v>
      </c>
      <c r="BY13" s="410">
        <f t="shared" si="29"/>
        <v>4840</v>
      </c>
      <c r="BZ13" s="410"/>
      <c r="CA13" s="410">
        <f t="shared" si="19"/>
        <v>11770</v>
      </c>
      <c r="CB13" s="411">
        <v>12510</v>
      </c>
      <c r="CC13" s="412"/>
      <c r="CD13" s="410"/>
      <c r="CE13" s="413">
        <v>14710</v>
      </c>
      <c r="CF13" s="408">
        <f t="shared" si="20"/>
        <v>140160</v>
      </c>
      <c r="CG13" s="408"/>
      <c r="CH13" s="414">
        <f t="shared" si="21"/>
        <v>36050</v>
      </c>
      <c r="CI13" s="408">
        <f t="shared" si="22"/>
        <v>36050</v>
      </c>
      <c r="CJ13" s="408"/>
      <c r="CK13" s="408"/>
      <c r="CL13" s="408"/>
      <c r="CM13" s="95"/>
      <c r="CN13" s="67"/>
    </row>
    <row r="14" spans="1:92" s="96" customFormat="1" ht="26.1" customHeight="1">
      <c r="A14" s="68">
        <f t="shared" si="0"/>
        <v>11</v>
      </c>
      <c r="B14" s="69" t="s">
        <v>436</v>
      </c>
      <c r="C14" s="69" t="s">
        <v>105</v>
      </c>
      <c r="D14" s="70" t="s">
        <v>449</v>
      </c>
      <c r="E14" s="71" t="s">
        <v>461</v>
      </c>
      <c r="F14" s="72" t="s">
        <v>106</v>
      </c>
      <c r="G14" s="69">
        <f>VLOOKUP(DATE(YEAR($I$1),3,1),$E$48:$F$72,2,0)</f>
        <v>365</v>
      </c>
      <c r="H14" s="497"/>
      <c r="I14" s="74">
        <v>44256</v>
      </c>
      <c r="J14" s="74"/>
      <c r="K14" s="78" t="str">
        <f t="shared" si="23"/>
        <v/>
      </c>
      <c r="L14" s="79" t="str">
        <f t="shared" si="9"/>
        <v/>
      </c>
      <c r="M14" s="80" t="str">
        <f t="shared" si="10"/>
        <v/>
      </c>
      <c r="N14" s="78" t="str">
        <f>IF(J14="","",YEAR($I$2)-YEAR(J14)+INT((MONTH($I$2)-MONTH(J14)+INT((DAY($I$2)-DAY(J14)+1)/CHOOSE(MONTH($I$2),31,IF(MOD($I$2,1461)&lt;367,29,28),31,30,31,30,31,31,30,31,30,31)))/12))</f>
        <v/>
      </c>
      <c r="O14" s="79" t="str">
        <f>IF(N14="","",MOD((MONTH($I$2)-MONTH(I14))+INT((DAY($I$2)-DAY(I14)+1)/CHOOSE(MONTH($I$2),31,IF(MOD($I$2,1461)&lt;367,29,28),31,30,31,30,31,31,30,31,30,31)),12))</f>
        <v/>
      </c>
      <c r="P14" s="80" t="str">
        <f>IF(IF(O14="","",MOD(DAY($I$2)-DAY(I14)+1,CHOOSE(MONTH($I$2),31,IF(MOD($I$2,1461)&lt;367,29,28),31,30,31,30,31,31,30,31,30,31)))=30,29,IF(O14="","",MOD(DAY($I$2)-DAY(I14)+1,CHOOSE(MONTH($I$2),31,IF(MOD($I$2,1461)&lt;367,29,28),31,30,31,30,31,31,30,31,30,31))))</f>
        <v/>
      </c>
      <c r="Q14" s="81"/>
      <c r="R14" s="82"/>
      <c r="S14" s="83"/>
      <c r="T14" s="369">
        <f t="shared" si="1"/>
        <v>0</v>
      </c>
      <c r="U14" s="82">
        <f t="shared" si="2"/>
        <v>0</v>
      </c>
      <c r="V14" s="83">
        <f t="shared" si="3"/>
        <v>0</v>
      </c>
      <c r="W14" s="106" t="s">
        <v>103</v>
      </c>
      <c r="X14" s="74"/>
      <c r="Y14" s="74" t="s">
        <v>269</v>
      </c>
      <c r="Z14" s="87" t="s">
        <v>473</v>
      </c>
      <c r="AA14" s="108"/>
      <c r="AB14" s="103" t="s">
        <v>475</v>
      </c>
      <c r="AC14" s="89">
        <v>2200000</v>
      </c>
      <c r="AD14" s="90"/>
      <c r="AE14" s="90"/>
      <c r="AF14" s="91">
        <f>AG14</f>
        <v>30</v>
      </c>
      <c r="AG14" s="91">
        <f t="shared" si="11"/>
        <v>30</v>
      </c>
      <c r="AH14" s="91"/>
      <c r="AI14" s="104">
        <v>40</v>
      </c>
      <c r="AJ14" s="395">
        <f t="shared" si="26"/>
        <v>2200000</v>
      </c>
      <c r="AK14" s="396">
        <v>100000</v>
      </c>
      <c r="AL14" s="396"/>
      <c r="AM14" s="396"/>
      <c r="AN14" s="396"/>
      <c r="AO14" s="396">
        <f t="shared" si="12"/>
        <v>0</v>
      </c>
      <c r="AP14" s="395">
        <f>0*10000</f>
        <v>0</v>
      </c>
      <c r="AQ14" s="396"/>
      <c r="AR14" s="395"/>
      <c r="AS14" s="395"/>
      <c r="AT14" s="395"/>
      <c r="AU14" s="395"/>
      <c r="AV14" s="395"/>
      <c r="AW14" s="395"/>
      <c r="AX14" s="395">
        <f>IF(OR(MONTH($C$2)=2,MONTH($C$2)=5,MONTH($C$2)=8,MONTH($C$2)=11),((234000+64800)/2),0)*0</f>
        <v>0</v>
      </c>
      <c r="AY14" s="395"/>
      <c r="AZ14" s="395"/>
      <c r="BA14" s="397"/>
      <c r="BB14" s="398">
        <f t="shared" si="31"/>
        <v>2300000</v>
      </c>
      <c r="BC14" s="415">
        <v>2300000</v>
      </c>
      <c r="BD14" s="400">
        <v>2541660</v>
      </c>
      <c r="BE14" s="401"/>
      <c r="BF14" s="402"/>
      <c r="BG14" s="403">
        <v>114340</v>
      </c>
      <c r="BH14" s="403">
        <f t="shared" si="15"/>
        <v>87170</v>
      </c>
      <c r="BI14" s="403">
        <f t="shared" si="16"/>
        <v>10040</v>
      </c>
      <c r="BJ14" s="403"/>
      <c r="BK14" s="403"/>
      <c r="BL14" s="403"/>
      <c r="BM14" s="404"/>
      <c r="BN14" s="405"/>
      <c r="BO14" s="405"/>
      <c r="BP14" s="395"/>
      <c r="BQ14" s="395">
        <f t="shared" si="32"/>
        <v>211550</v>
      </c>
      <c r="BR14" s="416">
        <f t="shared" si="7"/>
        <v>2088450</v>
      </c>
      <c r="BS14" s="407">
        <v>2300000</v>
      </c>
      <c r="BT14" s="407">
        <v>2300000</v>
      </c>
      <c r="BU14" s="417"/>
      <c r="BV14" s="408"/>
      <c r="BW14" s="410">
        <f t="shared" si="30"/>
        <v>114340</v>
      </c>
      <c r="BX14" s="410">
        <f t="shared" si="18"/>
        <v>87170</v>
      </c>
      <c r="BY14" s="410">
        <f t="shared" si="29"/>
        <v>10040</v>
      </c>
      <c r="BZ14" s="410">
        <f t="shared" si="29"/>
        <v>0</v>
      </c>
      <c r="CA14" s="410">
        <f t="shared" si="29"/>
        <v>0</v>
      </c>
      <c r="CB14" s="411"/>
      <c r="CC14" s="412">
        <f t="shared" ref="CC14:CC15" si="33">BL14</f>
        <v>0</v>
      </c>
      <c r="CD14" s="410"/>
      <c r="CE14" s="413">
        <v>25410</v>
      </c>
      <c r="CF14" s="408">
        <f>SUM(BW14:CE14)</f>
        <v>236960</v>
      </c>
      <c r="CG14" s="408"/>
      <c r="CH14" s="414">
        <f t="shared" si="21"/>
        <v>0</v>
      </c>
      <c r="CI14" s="408">
        <f>CD14+CH14</f>
        <v>0</v>
      </c>
      <c r="CJ14" s="408"/>
      <c r="CK14" s="408"/>
      <c r="CL14" s="408"/>
      <c r="CM14" s="95"/>
      <c r="CN14" s="67"/>
    </row>
    <row r="15" spans="1:92" s="105" customFormat="1" ht="26.1" customHeight="1">
      <c r="A15" s="68">
        <f t="shared" si="0"/>
        <v>12</v>
      </c>
      <c r="B15" s="69" t="s">
        <v>437</v>
      </c>
      <c r="C15" s="69" t="s">
        <v>108</v>
      </c>
      <c r="D15" s="70" t="s">
        <v>450</v>
      </c>
      <c r="E15" s="71" t="s">
        <v>462</v>
      </c>
      <c r="F15" s="72" t="s">
        <v>107</v>
      </c>
      <c r="G15" s="69">
        <v>365</v>
      </c>
      <c r="H15" s="497"/>
      <c r="I15" s="74"/>
      <c r="J15" s="74"/>
      <c r="K15" s="81"/>
      <c r="L15" s="82"/>
      <c r="M15" s="83"/>
      <c r="N15" s="83"/>
      <c r="O15" s="83"/>
      <c r="P15" s="83"/>
      <c r="Q15" s="81"/>
      <c r="R15" s="82"/>
      <c r="S15" s="83"/>
      <c r="T15" s="369"/>
      <c r="U15" s="82"/>
      <c r="V15" s="83"/>
      <c r="W15" s="106" t="s">
        <v>103</v>
      </c>
      <c r="X15" s="74"/>
      <c r="Y15" s="74" t="s">
        <v>98</v>
      </c>
      <c r="Z15" s="87" t="s">
        <v>474</v>
      </c>
      <c r="AA15" s="110" t="s">
        <v>104</v>
      </c>
      <c r="AB15" s="103" t="s">
        <v>109</v>
      </c>
      <c r="AC15" s="89">
        <v>600000</v>
      </c>
      <c r="AD15" s="90"/>
      <c r="AE15" s="90"/>
      <c r="AF15" s="91">
        <f>AG15</f>
        <v>30</v>
      </c>
      <c r="AG15" s="91">
        <f t="shared" si="11"/>
        <v>30</v>
      </c>
      <c r="AH15" s="91"/>
      <c r="AI15" s="111">
        <v>14</v>
      </c>
      <c r="AJ15" s="395">
        <v>600000</v>
      </c>
      <c r="AK15" s="395"/>
      <c r="AL15" s="395"/>
      <c r="AM15" s="395"/>
      <c r="AN15" s="395"/>
      <c r="AO15" s="396"/>
      <c r="AP15" s="395"/>
      <c r="AQ15" s="396"/>
      <c r="AR15" s="395"/>
      <c r="AS15" s="395"/>
      <c r="AT15" s="395"/>
      <c r="AU15" s="395"/>
      <c r="AV15" s="395"/>
      <c r="AW15" s="395"/>
      <c r="AX15" s="395"/>
      <c r="AY15" s="395"/>
      <c r="AZ15" s="395"/>
      <c r="BA15" s="397"/>
      <c r="BB15" s="398">
        <f t="shared" si="31"/>
        <v>600000</v>
      </c>
      <c r="BC15" s="415"/>
      <c r="BD15" s="400"/>
      <c r="BE15" s="401"/>
      <c r="BF15" s="402">
        <f t="shared" si="14"/>
        <v>0</v>
      </c>
      <c r="BG15" s="403"/>
      <c r="BH15" s="403"/>
      <c r="BI15" s="403"/>
      <c r="BJ15" s="403"/>
      <c r="BK15" s="403">
        <v>0</v>
      </c>
      <c r="BL15" s="403"/>
      <c r="BM15" s="404"/>
      <c r="BN15" s="405"/>
      <c r="BO15" s="405"/>
      <c r="BP15" s="395"/>
      <c r="BQ15" s="395">
        <f t="shared" si="32"/>
        <v>0</v>
      </c>
      <c r="BR15" s="416">
        <f t="shared" si="7"/>
        <v>600000</v>
      </c>
      <c r="BS15" s="407">
        <v>562916</v>
      </c>
      <c r="BT15" s="407">
        <f t="shared" si="17"/>
        <v>562916</v>
      </c>
      <c r="BU15" s="417"/>
      <c r="BV15" s="408"/>
      <c r="BW15" s="410"/>
      <c r="BX15" s="410"/>
      <c r="BY15" s="410"/>
      <c r="BZ15" s="410">
        <f>BJ15</f>
        <v>0</v>
      </c>
      <c r="CA15" s="410"/>
      <c r="CB15" s="411">
        <v>4760</v>
      </c>
      <c r="CC15" s="412">
        <f t="shared" si="33"/>
        <v>0</v>
      </c>
      <c r="CD15" s="410"/>
      <c r="CE15" s="411">
        <v>5600</v>
      </c>
      <c r="CF15" s="408">
        <f>SUM(BW15:CE15)</f>
        <v>10360</v>
      </c>
      <c r="CG15" s="408"/>
      <c r="CH15" s="414">
        <f t="shared" si="21"/>
        <v>4760</v>
      </c>
      <c r="CI15" s="408">
        <f>CD15+CH15</f>
        <v>4760</v>
      </c>
      <c r="CJ15" s="408"/>
      <c r="CK15" s="408"/>
      <c r="CL15" s="408"/>
      <c r="CM15" s="67"/>
      <c r="CN15" s="67"/>
    </row>
    <row r="16" spans="1:92" s="105" customFormat="1" ht="26.25" customHeight="1">
      <c r="A16" s="68">
        <f t="shared" si="0"/>
        <v>13</v>
      </c>
      <c r="B16" s="69"/>
      <c r="C16" s="372"/>
      <c r="D16" s="373"/>
      <c r="E16" s="372"/>
      <c r="F16" s="374"/>
      <c r="G16" s="372"/>
      <c r="H16" s="498"/>
      <c r="I16" s="375"/>
      <c r="J16" s="375"/>
      <c r="K16" s="376"/>
      <c r="L16" s="377"/>
      <c r="M16" s="378"/>
      <c r="N16" s="378"/>
      <c r="O16" s="378"/>
      <c r="P16" s="378"/>
      <c r="Q16" s="376"/>
      <c r="R16" s="377"/>
      <c r="S16" s="378"/>
      <c r="T16" s="379"/>
      <c r="U16" s="377"/>
      <c r="V16" s="378"/>
      <c r="W16" s="380"/>
      <c r="X16" s="375"/>
      <c r="Y16" s="375"/>
      <c r="Z16" s="381"/>
      <c r="AA16" s="382"/>
      <c r="AB16" s="383"/>
      <c r="AC16" s="384"/>
      <c r="AD16" s="385"/>
      <c r="AE16" s="385"/>
      <c r="AF16" s="386"/>
      <c r="AG16" s="386"/>
      <c r="AH16" s="386"/>
      <c r="AI16" s="387"/>
      <c r="AJ16" s="395"/>
      <c r="AK16" s="418"/>
      <c r="AL16" s="418"/>
      <c r="AM16" s="418"/>
      <c r="AN16" s="418"/>
      <c r="AO16" s="419"/>
      <c r="AP16" s="418"/>
      <c r="AQ16" s="418"/>
      <c r="AR16" s="418"/>
      <c r="AS16" s="418"/>
      <c r="AT16" s="418"/>
      <c r="AU16" s="418"/>
      <c r="AV16" s="395"/>
      <c r="AW16" s="418"/>
      <c r="AX16" s="418"/>
      <c r="AY16" s="418"/>
      <c r="AZ16" s="418"/>
      <c r="BA16" s="420"/>
      <c r="BB16" s="398">
        <f>SUM(AJ16:AY16)+AZ16</f>
        <v>0</v>
      </c>
      <c r="BC16" s="421"/>
      <c r="BD16" s="422"/>
      <c r="BE16" s="423"/>
      <c r="BF16" s="424"/>
      <c r="BG16" s="425"/>
      <c r="BH16" s="425"/>
      <c r="BI16" s="425"/>
      <c r="BJ16" s="425"/>
      <c r="BK16" s="425"/>
      <c r="BL16" s="425"/>
      <c r="BM16" s="426"/>
      <c r="BN16" s="426"/>
      <c r="BO16" s="426"/>
      <c r="BP16" s="418"/>
      <c r="BQ16" s="395">
        <f t="shared" si="32"/>
        <v>0</v>
      </c>
      <c r="BR16" s="416">
        <f t="shared" si="7"/>
        <v>0</v>
      </c>
      <c r="BS16" s="407"/>
      <c r="BT16" s="407"/>
      <c r="BU16" s="417"/>
      <c r="BV16" s="427"/>
      <c r="BW16" s="410"/>
      <c r="BX16" s="410"/>
      <c r="BY16" s="410"/>
      <c r="BZ16" s="410"/>
      <c r="CA16" s="410"/>
      <c r="CB16" s="411"/>
      <c r="CC16" s="410"/>
      <c r="CD16" s="410"/>
      <c r="CE16" s="411"/>
      <c r="CF16" s="408"/>
      <c r="CG16" s="427"/>
      <c r="CH16" s="414">
        <f t="shared" si="21"/>
        <v>0</v>
      </c>
      <c r="CI16" s="408">
        <f>CD16+CH16</f>
        <v>0</v>
      </c>
      <c r="CJ16" s="408"/>
      <c r="CK16" s="408"/>
      <c r="CL16" s="408"/>
      <c r="CM16" s="67"/>
      <c r="CN16" s="67"/>
    </row>
    <row r="17" spans="1:90" ht="29.25" customHeight="1" thickBot="1">
      <c r="A17" s="112"/>
      <c r="B17" s="113" t="s">
        <v>110</v>
      </c>
      <c r="C17" s="113"/>
      <c r="D17" s="113"/>
      <c r="E17" s="113"/>
      <c r="F17" s="113"/>
      <c r="G17" s="113"/>
      <c r="H17" s="113"/>
      <c r="I17" s="113"/>
      <c r="J17" s="113"/>
      <c r="K17" s="113"/>
      <c r="L17" s="113"/>
      <c r="M17" s="113"/>
      <c r="N17" s="113"/>
      <c r="O17" s="113"/>
      <c r="P17" s="113"/>
      <c r="Q17" s="113"/>
      <c r="R17" s="113"/>
      <c r="S17" s="113"/>
      <c r="T17" s="113"/>
      <c r="U17" s="113"/>
      <c r="V17" s="113"/>
      <c r="W17" s="113"/>
      <c r="X17" s="114"/>
      <c r="Y17" s="114"/>
      <c r="Z17" s="115"/>
      <c r="AA17" s="116"/>
      <c r="AB17" s="116">
        <f>SUM(AB4:AB15)</f>
        <v>0</v>
      </c>
      <c r="AC17" s="117"/>
      <c r="AD17" s="117">
        <f>SUM(AD4:AD15)</f>
        <v>0</v>
      </c>
      <c r="AE17" s="117"/>
      <c r="AF17" s="116"/>
      <c r="AG17" s="116"/>
      <c r="AH17" s="116"/>
      <c r="AI17" s="116"/>
      <c r="AJ17" s="117">
        <f>SUM(AJ4:AJ16)</f>
        <v>16404500</v>
      </c>
      <c r="AK17" s="392">
        <f>SUM(AK4:AK16)</f>
        <v>100000</v>
      </c>
      <c r="AL17" s="392">
        <f>SUM(AL4:AL16)</f>
        <v>0</v>
      </c>
      <c r="AM17" s="392">
        <f t="shared" ref="AM17:BA17" si="34">SUM(AM4:AM16)</f>
        <v>125000</v>
      </c>
      <c r="AN17" s="392">
        <f t="shared" si="34"/>
        <v>35000</v>
      </c>
      <c r="AO17" s="392">
        <f t="shared" si="34"/>
        <v>3080000</v>
      </c>
      <c r="AP17" s="392">
        <f>SUM(AP4:AP16)</f>
        <v>0</v>
      </c>
      <c r="AQ17" s="392">
        <f t="shared" si="34"/>
        <v>0</v>
      </c>
      <c r="AR17" s="392">
        <f t="shared" si="34"/>
        <v>0</v>
      </c>
      <c r="AS17" s="392">
        <f t="shared" si="34"/>
        <v>277500</v>
      </c>
      <c r="AT17" s="392">
        <f t="shared" si="34"/>
        <v>0</v>
      </c>
      <c r="AU17" s="392">
        <f t="shared" si="34"/>
        <v>200000</v>
      </c>
      <c r="AV17" s="392">
        <f>SUM(AV4:AV16)</f>
        <v>1330000</v>
      </c>
      <c r="AW17" s="392">
        <f t="shared" si="34"/>
        <v>0</v>
      </c>
      <c r="AX17" s="392">
        <f t="shared" si="34"/>
        <v>0</v>
      </c>
      <c r="AY17" s="392">
        <f t="shared" si="34"/>
        <v>0</v>
      </c>
      <c r="AZ17" s="392">
        <f t="shared" si="34"/>
        <v>0</v>
      </c>
      <c r="BA17" s="392">
        <f t="shared" si="34"/>
        <v>0</v>
      </c>
      <c r="BB17" s="118">
        <f>SUM(BB4:BB16)</f>
        <v>21552000</v>
      </c>
      <c r="BC17" s="119">
        <f t="shared" ref="BC17:BF17" si="35">SUM(BC4:BC15)</f>
        <v>17285000</v>
      </c>
      <c r="BD17" s="120">
        <f t="shared" si="35"/>
        <v>19060059</v>
      </c>
      <c r="BE17" s="121">
        <f t="shared" si="35"/>
        <v>0</v>
      </c>
      <c r="BF17" s="122">
        <f t="shared" si="35"/>
        <v>0</v>
      </c>
      <c r="BG17" s="392">
        <f t="shared" ref="BG17:BI17" si="36">SUM(BG4:BG16)</f>
        <v>788640</v>
      </c>
      <c r="BH17" s="392">
        <f t="shared" si="36"/>
        <v>657230</v>
      </c>
      <c r="BI17" s="392">
        <f t="shared" si="36"/>
        <v>75660</v>
      </c>
      <c r="BJ17" s="392">
        <f t="shared" ref="BJ17" si="37">SUM(BJ4:BJ16)</f>
        <v>0</v>
      </c>
      <c r="BK17" s="392">
        <f t="shared" ref="BK17" si="38">SUM(BK4:BK16)</f>
        <v>134700</v>
      </c>
      <c r="BL17" s="392">
        <f t="shared" ref="BL17" si="39">SUM(BL4:BL16)</f>
        <v>0</v>
      </c>
      <c r="BM17" s="392">
        <f t="shared" ref="BM17" si="40">SUM(BM4:BM16)</f>
        <v>3000000</v>
      </c>
      <c r="BN17" s="392">
        <f t="shared" ref="BN17" si="41">SUM(BN4:BN16)</f>
        <v>0</v>
      </c>
      <c r="BO17" s="392">
        <f t="shared" ref="BO17" si="42">SUM(BO4:BO16)</f>
        <v>0</v>
      </c>
      <c r="BP17" s="392">
        <f t="shared" ref="BP17" si="43">SUM(BP4:BP16)</f>
        <v>0</v>
      </c>
      <c r="BQ17" s="392">
        <f t="shared" ref="BQ17" si="44">SUM(BQ4:BQ16)</f>
        <v>4656230</v>
      </c>
      <c r="BR17" s="392">
        <f t="shared" ref="BR17" si="45">SUM(BR4:BR16)</f>
        <v>16895770</v>
      </c>
      <c r="BS17" s="94"/>
      <c r="BT17" s="94"/>
      <c r="BU17" s="109"/>
      <c r="BV17" s="123"/>
      <c r="BW17" s="124">
        <f>SUM(BW4:BW15)</f>
        <v>788440</v>
      </c>
      <c r="BX17" s="124">
        <f>SUM(BX4:BX15)</f>
        <v>657230</v>
      </c>
      <c r="BY17" s="124">
        <f>SUM(BY4:BY15)</f>
        <v>75660</v>
      </c>
      <c r="BZ17" s="124">
        <f>SUM(BZ4:BZ15)</f>
        <v>0</v>
      </c>
      <c r="CA17" s="124">
        <f>SUM(CA4:CA16)</f>
        <v>134700</v>
      </c>
      <c r="CB17" s="124">
        <f>SUM(CB4:CB16)</f>
        <v>147900</v>
      </c>
      <c r="CC17" s="124">
        <f>SUM(CC4:CC15)</f>
        <v>0</v>
      </c>
      <c r="CD17" s="124">
        <f>SUM(CD4:CD16)</f>
        <v>0</v>
      </c>
      <c r="CE17" s="124">
        <f>SUM(CE4:CE16)</f>
        <v>199420</v>
      </c>
      <c r="CF17" s="124">
        <f>SUM(CF4:CF15)</f>
        <v>2003350</v>
      </c>
      <c r="CG17" s="124">
        <f>SUM(CG4:CG15)</f>
        <v>0</v>
      </c>
      <c r="CH17" s="124">
        <f>SUM(CH4:CH16)</f>
        <v>417300</v>
      </c>
      <c r="CI17" s="124">
        <f>SUM(CI4:CI16)</f>
        <v>417300</v>
      </c>
      <c r="CJ17" s="124">
        <f>SUM(CJ4:CJ15)</f>
        <v>0</v>
      </c>
      <c r="CK17" s="124">
        <f>SUM(CK4:CK15)</f>
        <v>0</v>
      </c>
      <c r="CL17" s="124">
        <f>SUM(CL4:CL15)</f>
        <v>0</v>
      </c>
    </row>
    <row r="18" spans="1:90" ht="21" customHeight="1">
      <c r="AJ18" s="125"/>
      <c r="AZ18" s="126"/>
      <c r="BB18" s="127"/>
      <c r="BC18" s="127"/>
      <c r="BD18" s="127"/>
      <c r="BE18" s="127"/>
      <c r="BF18" s="127"/>
      <c r="BN18" s="123"/>
      <c r="BQ18" s="123"/>
      <c r="BR18" s="123">
        <f>BR17-BR14</f>
        <v>14807320</v>
      </c>
      <c r="BU18" s="3"/>
      <c r="BX18" s="128"/>
      <c r="CA18" s="123">
        <f>BK17+BN17</f>
        <v>134700</v>
      </c>
      <c r="CB18" s="123">
        <f>SUM(CA17:CB17,CD17)</f>
        <v>282600</v>
      </c>
      <c r="CC18" s="123">
        <f>CA18+CB18</f>
        <v>417300</v>
      </c>
      <c r="CD18" s="125"/>
      <c r="CE18" s="125"/>
      <c r="CG18" s="125"/>
      <c r="CH18" s="125"/>
    </row>
    <row r="19" spans="1:90" s="3" customFormat="1" ht="25.5" customHeight="1">
      <c r="D19" s="129"/>
      <c r="G19" s="130"/>
      <c r="H19" s="130"/>
      <c r="AA19" s="8"/>
      <c r="BB19" s="131"/>
      <c r="BC19" s="22"/>
      <c r="BD19" s="132"/>
      <c r="BE19" s="131"/>
      <c r="BF19" s="22"/>
      <c r="BG19" s="133" t="str">
        <f t="shared" ref="BG19:BL19" si="46">BG3</f>
        <v>국민연금</v>
      </c>
      <c r="BH19" s="133" t="str">
        <f t="shared" si="46"/>
        <v>건강보험</v>
      </c>
      <c r="BI19" s="133" t="str">
        <f t="shared" si="46"/>
        <v>노인장기요양보험</v>
      </c>
      <c r="BJ19" s="133" t="str">
        <f t="shared" si="46"/>
        <v>건강보험정산</v>
      </c>
      <c r="BK19" s="133" t="str">
        <f t="shared" si="46"/>
        <v>고용보험실업급여</v>
      </c>
      <c r="BL19" s="134" t="str">
        <f t="shared" si="46"/>
        <v>노인장기요양보험정산</v>
      </c>
      <c r="BM19" s="133" t="s">
        <v>111</v>
      </c>
      <c r="BP19" s="109">
        <f>BH17+BJ17+BX17+BZ17</f>
        <v>1314460</v>
      </c>
      <c r="CA19" s="135" t="s">
        <v>112</v>
      </c>
      <c r="CB19" s="135" t="s">
        <v>113</v>
      </c>
      <c r="CC19" s="135" t="s">
        <v>114</v>
      </c>
      <c r="CD19" s="136"/>
      <c r="CE19" s="136"/>
      <c r="CG19" s="109"/>
      <c r="CH19" s="136"/>
    </row>
    <row r="20" spans="1:90" s="3" customFormat="1" ht="19.5" customHeight="1">
      <c r="D20" s="129"/>
      <c r="G20" s="130"/>
      <c r="H20" s="130"/>
      <c r="Z20" s="10"/>
      <c r="AA20" s="137"/>
      <c r="BG20" s="138">
        <f>BG17+BW17</f>
        <v>1577080</v>
      </c>
      <c r="BH20" s="139">
        <f>BH17+BX17</f>
        <v>1314460</v>
      </c>
      <c r="BI20" s="139">
        <f>BI17+BY17</f>
        <v>151320</v>
      </c>
      <c r="BJ20" s="139">
        <f>BJ17+BZ17</f>
        <v>0</v>
      </c>
      <c r="BK20" s="138">
        <f>BK17+CA17+CB17+CD17+BN17</f>
        <v>417300</v>
      </c>
      <c r="BL20" s="139">
        <f>BL17+CC17</f>
        <v>0</v>
      </c>
      <c r="BM20" s="140">
        <f>CE17+CG17</f>
        <v>199420</v>
      </c>
      <c r="BP20" s="131"/>
      <c r="CA20" s="141">
        <f>BH24</f>
        <v>1656230</v>
      </c>
      <c r="CB20" s="141">
        <f>BI24</f>
        <v>2003350</v>
      </c>
      <c r="CC20" s="141">
        <f>CA20+CB20</f>
        <v>3659580</v>
      </c>
      <c r="CE20" s="136"/>
      <c r="CH20" s="136"/>
    </row>
    <row r="21" spans="1:90" s="3" customFormat="1" ht="15" customHeight="1">
      <c r="C21" s="130"/>
      <c r="D21" s="142"/>
      <c r="E21" s="130"/>
      <c r="F21" s="130"/>
      <c r="G21" s="130"/>
      <c r="H21" s="130"/>
      <c r="Z21" s="10"/>
      <c r="AA21" s="137"/>
      <c r="BG21" s="136"/>
      <c r="BH21" s="136">
        <f>SUM(BH20:BJ20,BL20)</f>
        <v>1465780</v>
      </c>
      <c r="BI21" s="136">
        <f>BH20+BI20</f>
        <v>1465780</v>
      </c>
      <c r="BJ21" s="136">
        <f>BJ20+BL20</f>
        <v>0</v>
      </c>
      <c r="BK21" s="136">
        <f>BI21+BJ21</f>
        <v>1465780</v>
      </c>
      <c r="BM21" s="136">
        <f>SUM(BG20:BM20)</f>
        <v>3659580</v>
      </c>
      <c r="BY21" s="136"/>
      <c r="CE21" s="136"/>
    </row>
    <row r="22" spans="1:90" s="3" customFormat="1" ht="12">
      <c r="C22" s="130"/>
      <c r="D22" s="142"/>
      <c r="E22" s="130"/>
      <c r="F22" s="130"/>
      <c r="G22" s="130"/>
      <c r="H22" s="130"/>
      <c r="R22" s="3" t="s">
        <v>263</v>
      </c>
      <c r="Z22" s="10"/>
      <c r="AA22" s="137"/>
      <c r="BH22" s="136"/>
      <c r="BM22" s="143">
        <f>BM20</f>
        <v>199420</v>
      </c>
      <c r="BN22" s="3" t="s">
        <v>115</v>
      </c>
      <c r="BY22" s="136"/>
      <c r="CC22" s="109"/>
    </row>
    <row r="23" spans="1:90" s="3" customFormat="1" ht="27.75" customHeight="1">
      <c r="C23" s="130"/>
      <c r="D23" s="142"/>
      <c r="E23" s="130"/>
      <c r="F23" s="130"/>
      <c r="G23" s="130"/>
      <c r="H23" s="130"/>
      <c r="Z23" s="10"/>
      <c r="AA23" s="137"/>
      <c r="BH23" s="135" t="s">
        <v>112</v>
      </c>
      <c r="BI23" s="135" t="s">
        <v>113</v>
      </c>
      <c r="BJ23" s="135" t="s">
        <v>114</v>
      </c>
    </row>
    <row r="24" spans="1:90" s="3" customFormat="1" ht="15" customHeight="1">
      <c r="D24" s="2"/>
      <c r="Z24" s="10"/>
      <c r="AA24" s="137"/>
      <c r="BH24" s="141">
        <f>SUM(BG17:BL17)</f>
        <v>1656230</v>
      </c>
      <c r="BI24" s="141">
        <f>SUM(BW17:CE17)+CG17</f>
        <v>2003350</v>
      </c>
      <c r="BJ24" s="141">
        <f>BH24+BI24</f>
        <v>3659580</v>
      </c>
    </row>
    <row r="25" spans="1:90" s="3" customFormat="1" ht="12">
      <c r="C25" s="130"/>
      <c r="D25" s="142"/>
      <c r="E25" s="130"/>
      <c r="F25" s="130"/>
      <c r="G25" s="130"/>
      <c r="H25" s="130"/>
      <c r="Z25" s="10"/>
      <c r="AA25" s="137"/>
    </row>
    <row r="26" spans="1:90" s="3" customFormat="1" ht="12">
      <c r="D26" s="2"/>
      <c r="Z26" s="10"/>
      <c r="AA26" s="137"/>
    </row>
    <row r="27" spans="1:90" s="3" customFormat="1" ht="12">
      <c r="D27" s="2"/>
      <c r="Z27" s="10"/>
      <c r="AA27" s="137"/>
    </row>
    <row r="28" spans="1:90" s="3" customFormat="1" ht="12">
      <c r="D28" s="2"/>
      <c r="Z28" s="10"/>
      <c r="AA28" s="137"/>
    </row>
    <row r="29" spans="1:90" s="3" customFormat="1" ht="12">
      <c r="D29" s="2"/>
      <c r="Z29" s="10"/>
      <c r="AA29" s="137"/>
    </row>
    <row r="30" spans="1:90" s="3" customFormat="1" ht="12">
      <c r="D30" s="2"/>
      <c r="Z30" s="10"/>
      <c r="AA30" s="137"/>
    </row>
    <row r="31" spans="1:90" s="3" customFormat="1" ht="12">
      <c r="D31" s="2"/>
      <c r="H31" s="144"/>
    </row>
    <row r="32" spans="1:90" s="3" customFormat="1" ht="12">
      <c r="A32" s="145"/>
      <c r="D32" s="2"/>
    </row>
    <row r="33" spans="1:91" s="3" customFormat="1" ht="12">
      <c r="A33" s="145"/>
      <c r="D33" s="2"/>
    </row>
    <row r="34" spans="1:91" s="3" customFormat="1" ht="12">
      <c r="D34" s="2"/>
      <c r="Z34" s="3" t="s">
        <v>265</v>
      </c>
      <c r="AD34" s="16"/>
    </row>
    <row r="35" spans="1:91" s="3" customFormat="1" ht="12">
      <c r="B35" s="3" t="s">
        <v>116</v>
      </c>
      <c r="D35" s="2"/>
      <c r="Z35" s="16"/>
      <c r="AD35" s="16"/>
    </row>
    <row r="36" spans="1:91" ht="17.25" customHeight="1">
      <c r="B36" s="146" t="s">
        <v>117</v>
      </c>
      <c r="C36" s="146" t="s">
        <v>118</v>
      </c>
      <c r="D36" s="146" t="s">
        <v>119</v>
      </c>
      <c r="E36" s="146" t="s">
        <v>120</v>
      </c>
      <c r="F36" s="146" t="s">
        <v>121</v>
      </c>
      <c r="G36" s="146"/>
      <c r="H36" s="146"/>
      <c r="I36" s="146"/>
      <c r="J36" s="147"/>
      <c r="K36" s="16"/>
      <c r="L36" s="16"/>
      <c r="M36" s="16"/>
      <c r="N36" s="16"/>
      <c r="O36" s="16"/>
      <c r="P36" s="16"/>
      <c r="Q36" s="16"/>
      <c r="R36" s="16"/>
      <c r="S36" s="16"/>
      <c r="T36" s="16"/>
      <c r="U36" s="16"/>
      <c r="V36" s="16"/>
      <c r="W36" s="16"/>
      <c r="X36" s="16"/>
      <c r="Y36" s="16"/>
      <c r="Z36" s="148" t="s">
        <v>122</v>
      </c>
      <c r="AA36" s="16"/>
      <c r="AB36" s="16"/>
      <c r="AC36" s="16"/>
      <c r="AD36" s="16"/>
      <c r="AE36" s="16"/>
      <c r="AF36" s="16"/>
      <c r="AG36" s="16"/>
      <c r="AH36" s="3"/>
      <c r="AI36" s="3"/>
      <c r="AJ36" s="3"/>
      <c r="AK36" s="3"/>
      <c r="AL36" s="3"/>
      <c r="AM36" s="3"/>
      <c r="AN36" s="3"/>
      <c r="AO36" s="3"/>
      <c r="AP36" s="3"/>
      <c r="AQ36" s="3"/>
      <c r="AR36" s="3"/>
      <c r="BB36" s="4"/>
      <c r="BC36" s="4"/>
      <c r="BD36" s="4"/>
      <c r="BE36" s="4"/>
      <c r="BF36" s="4"/>
      <c r="BG36" s="4"/>
      <c r="BH36" s="4"/>
      <c r="BI36" s="4"/>
      <c r="BU36" s="16"/>
    </row>
    <row r="37" spans="1:91" ht="12" customHeight="1">
      <c r="B37" s="149">
        <v>1</v>
      </c>
      <c r="C37" s="150">
        <v>15</v>
      </c>
      <c r="D37" s="150">
        <v>0</v>
      </c>
      <c r="E37" s="151" t="s">
        <v>123</v>
      </c>
      <c r="F37" s="151" t="s">
        <v>124</v>
      </c>
      <c r="G37" s="151"/>
      <c r="H37" s="151"/>
      <c r="I37" s="152"/>
      <c r="J37" s="153"/>
      <c r="K37" s="24"/>
      <c r="L37" s="24"/>
      <c r="M37" s="24"/>
      <c r="N37" s="24"/>
      <c r="O37" s="24"/>
      <c r="P37" s="24"/>
      <c r="Q37" s="24"/>
      <c r="R37" s="24"/>
      <c r="S37" s="24"/>
      <c r="T37" s="24"/>
      <c r="U37" s="24"/>
      <c r="V37" s="24"/>
      <c r="W37" s="24"/>
      <c r="X37" s="16"/>
      <c r="Y37" s="16"/>
      <c r="Z37" s="154" t="s">
        <v>125</v>
      </c>
      <c r="AA37" s="155" t="s">
        <v>126</v>
      </c>
      <c r="AB37" s="155" t="s">
        <v>127</v>
      </c>
      <c r="AC37" s="130" t="s">
        <v>128</v>
      </c>
      <c r="AD37" s="16"/>
      <c r="AE37" s="16"/>
      <c r="AF37" s="16"/>
      <c r="AG37" s="16"/>
      <c r="AH37" s="155" t="s">
        <v>129</v>
      </c>
      <c r="AI37" s="3"/>
      <c r="AJ37" s="3"/>
      <c r="AK37" s="3"/>
      <c r="AL37" s="3"/>
      <c r="AM37" s="3"/>
      <c r="AN37" s="3"/>
      <c r="AO37" s="3"/>
      <c r="AP37" s="3"/>
      <c r="AQ37" s="3"/>
      <c r="AR37" s="3"/>
      <c r="BB37" s="4"/>
      <c r="BC37" s="4"/>
      <c r="BD37" s="4"/>
      <c r="BE37" s="4"/>
      <c r="BF37" s="4"/>
      <c r="BG37" s="4"/>
      <c r="BH37" s="4"/>
      <c r="BI37" s="4"/>
      <c r="BU37" s="16"/>
    </row>
    <row r="38" spans="1:91" ht="12" customHeight="1">
      <c r="B38" s="149">
        <v>2</v>
      </c>
      <c r="C38" s="150">
        <v>15</v>
      </c>
      <c r="D38" s="150">
        <v>0</v>
      </c>
      <c r="E38" s="151" t="s">
        <v>130</v>
      </c>
      <c r="F38" s="151" t="s">
        <v>131</v>
      </c>
      <c r="G38" s="151"/>
      <c r="H38" s="151"/>
      <c r="I38" s="152"/>
      <c r="J38" s="153"/>
      <c r="K38" s="24"/>
      <c r="L38" s="24"/>
      <c r="M38" s="24"/>
      <c r="N38" s="24"/>
      <c r="O38" s="24"/>
      <c r="P38" s="24"/>
      <c r="Q38" s="24"/>
      <c r="R38" s="24"/>
      <c r="S38" s="24"/>
      <c r="T38" s="24"/>
      <c r="U38" s="24"/>
      <c r="V38" s="24"/>
      <c r="W38" s="24"/>
      <c r="X38" s="16"/>
      <c r="Y38" s="16"/>
      <c r="Z38" s="156">
        <v>1</v>
      </c>
      <c r="AA38" s="157">
        <v>34000</v>
      </c>
      <c r="AB38" s="157">
        <f>AA38+1000</f>
        <v>35000</v>
      </c>
      <c r="AC38" s="157"/>
      <c r="AD38" s="16"/>
      <c r="AE38" s="16"/>
      <c r="AF38" s="16"/>
      <c r="AG38" s="16"/>
      <c r="AH38" s="157">
        <v>32500</v>
      </c>
      <c r="AI38" s="3"/>
      <c r="AJ38" s="3"/>
      <c r="AK38" s="3"/>
      <c r="AL38" s="3"/>
      <c r="AM38" s="3"/>
      <c r="AN38" s="3"/>
      <c r="AO38" s="3"/>
      <c r="AP38" s="3"/>
      <c r="AQ38" s="3"/>
      <c r="AR38" s="3"/>
      <c r="BB38" s="4"/>
      <c r="BC38" s="4"/>
      <c r="BD38" s="4"/>
      <c r="BE38" s="4"/>
      <c r="BF38" s="4"/>
      <c r="BG38" s="4"/>
      <c r="BH38" s="4"/>
      <c r="BI38" s="4"/>
      <c r="BU38" s="16"/>
    </row>
    <row r="39" spans="1:91" ht="12" customHeight="1">
      <c r="B39" s="158">
        <v>3</v>
      </c>
      <c r="C39" s="151">
        <v>15</v>
      </c>
      <c r="D39" s="159">
        <v>1</v>
      </c>
      <c r="E39" s="151" t="s">
        <v>132</v>
      </c>
      <c r="F39" s="151" t="s">
        <v>133</v>
      </c>
      <c r="G39" s="151"/>
      <c r="H39" s="151"/>
      <c r="I39" s="152"/>
      <c r="J39" s="153"/>
      <c r="K39" s="24"/>
      <c r="L39" s="24"/>
      <c r="M39" s="24"/>
      <c r="N39" s="24"/>
      <c r="O39" s="24"/>
      <c r="P39" s="24"/>
      <c r="Q39" s="24"/>
      <c r="R39" s="24"/>
      <c r="S39" s="24"/>
      <c r="T39" s="24"/>
      <c r="U39" s="24"/>
      <c r="V39" s="24"/>
      <c r="W39" s="24"/>
      <c r="X39" s="16"/>
      <c r="Y39" s="16"/>
      <c r="Z39" s="156">
        <v>2</v>
      </c>
      <c r="AA39" s="157">
        <f t="shared" ref="AA39:AA57" si="47">AA38+34000</f>
        <v>68000</v>
      </c>
      <c r="AB39" s="157">
        <f>AB38+35000</f>
        <v>70000</v>
      </c>
      <c r="AC39" s="157"/>
      <c r="AD39" s="16"/>
      <c r="AE39" s="16"/>
      <c r="AF39" s="16"/>
      <c r="AG39" s="16"/>
      <c r="AH39" s="157">
        <v>65000</v>
      </c>
      <c r="AI39" s="3"/>
      <c r="AJ39" s="3"/>
      <c r="AK39" s="3"/>
      <c r="AL39" s="3"/>
      <c r="AM39" s="3"/>
      <c r="AN39" s="3"/>
      <c r="AO39" s="3"/>
      <c r="AP39" s="3"/>
      <c r="AQ39" s="3"/>
      <c r="AR39" s="3"/>
      <c r="BB39" s="4"/>
      <c r="BC39" s="4"/>
      <c r="BD39" s="4"/>
      <c r="BE39" s="4"/>
      <c r="BF39" s="4"/>
      <c r="BG39" s="4"/>
      <c r="BH39" s="4"/>
      <c r="BI39" s="4"/>
      <c r="BU39" s="16"/>
    </row>
    <row r="40" spans="1:91" ht="12" customHeight="1">
      <c r="B40" s="158">
        <v>4</v>
      </c>
      <c r="C40" s="151">
        <v>15</v>
      </c>
      <c r="D40" s="159">
        <v>1</v>
      </c>
      <c r="F40" s="151" t="s">
        <v>134</v>
      </c>
      <c r="G40" s="151"/>
      <c r="H40" s="151"/>
      <c r="I40" s="152"/>
      <c r="J40" s="153"/>
      <c r="K40" s="24"/>
      <c r="L40" s="24"/>
      <c r="M40" s="24"/>
      <c r="N40" s="24"/>
      <c r="O40" s="24"/>
      <c r="P40" s="24"/>
      <c r="Q40" s="24"/>
      <c r="R40" s="24"/>
      <c r="S40" s="24"/>
      <c r="T40" s="24"/>
      <c r="U40" s="24"/>
      <c r="V40" s="24"/>
      <c r="W40" s="24"/>
      <c r="X40" s="16"/>
      <c r="Y40" s="16"/>
      <c r="Z40" s="156">
        <v>3</v>
      </c>
      <c r="AA40" s="157">
        <f t="shared" si="47"/>
        <v>102000</v>
      </c>
      <c r="AB40" s="157">
        <f t="shared" ref="AB40:AB57" si="48">AB39+35000</f>
        <v>105000</v>
      </c>
      <c r="AC40" s="157"/>
      <c r="AD40" s="16"/>
      <c r="AE40" s="16"/>
      <c r="AF40" s="16"/>
      <c r="AG40" s="16"/>
      <c r="AH40" s="157">
        <v>97500</v>
      </c>
      <c r="AI40" s="3"/>
      <c r="AJ40" s="3"/>
      <c r="AK40" s="3"/>
      <c r="AL40" s="3"/>
      <c r="AM40" s="3"/>
      <c r="AN40" s="3"/>
      <c r="AO40" s="3"/>
      <c r="AP40" s="3"/>
      <c r="AQ40" s="3"/>
      <c r="AR40" s="3"/>
      <c r="BB40" s="4"/>
      <c r="BC40" s="4"/>
      <c r="BD40" s="4"/>
      <c r="BE40" s="4"/>
      <c r="BF40" s="4"/>
      <c r="BG40" s="4"/>
      <c r="BH40" s="4"/>
      <c r="BI40" s="4"/>
      <c r="BU40" s="16"/>
    </row>
    <row r="41" spans="1:91" ht="12" customHeight="1">
      <c r="B41" s="149">
        <v>5</v>
      </c>
      <c r="C41" s="150">
        <v>15</v>
      </c>
      <c r="D41" s="150">
        <v>2</v>
      </c>
      <c r="I41" s="152"/>
      <c r="J41" s="153"/>
      <c r="K41" s="24"/>
      <c r="L41" s="24"/>
      <c r="M41" s="24"/>
      <c r="N41" s="24"/>
      <c r="O41" s="24"/>
      <c r="P41" s="24"/>
      <c r="Q41" s="24"/>
      <c r="R41" s="24"/>
      <c r="S41" s="24"/>
      <c r="T41" s="24"/>
      <c r="U41" s="24"/>
      <c r="V41" s="24"/>
      <c r="W41" s="24"/>
      <c r="X41" s="16"/>
      <c r="Y41" s="16"/>
      <c r="Z41" s="156">
        <v>4</v>
      </c>
      <c r="AA41" s="157">
        <f t="shared" si="47"/>
        <v>136000</v>
      </c>
      <c r="AB41" s="157">
        <f t="shared" si="48"/>
        <v>140000</v>
      </c>
      <c r="AC41" s="157"/>
      <c r="AD41" s="16"/>
      <c r="AE41" s="16"/>
      <c r="AF41" s="16"/>
      <c r="AG41" s="16"/>
      <c r="AH41" s="157">
        <v>130000</v>
      </c>
      <c r="AI41" s="3"/>
      <c r="AJ41" s="3"/>
      <c r="AK41" s="3"/>
      <c r="AL41" s="3"/>
      <c r="AM41" s="3"/>
      <c r="AN41" s="3"/>
      <c r="AO41" s="3"/>
      <c r="AP41" s="3"/>
      <c r="AQ41" s="3"/>
      <c r="AR41" s="3"/>
      <c r="BB41" s="4"/>
      <c r="BC41" s="4"/>
      <c r="BD41" s="4"/>
      <c r="BE41" s="4"/>
      <c r="BF41" s="4"/>
      <c r="BG41" s="4"/>
      <c r="BH41" s="4"/>
      <c r="BI41" s="4"/>
      <c r="BT41" s="16"/>
      <c r="CL41"/>
      <c r="CM41" s="4"/>
    </row>
    <row r="42" spans="1:91" ht="12" customHeight="1">
      <c r="B42" s="149">
        <v>6</v>
      </c>
      <c r="C42" s="150">
        <v>15</v>
      </c>
      <c r="D42" s="150">
        <v>2</v>
      </c>
      <c r="I42" s="152"/>
      <c r="J42" s="153"/>
      <c r="K42" s="24"/>
      <c r="L42" s="24"/>
      <c r="M42" s="24"/>
      <c r="N42" s="24"/>
      <c r="O42" s="24"/>
      <c r="P42" s="24"/>
      <c r="Q42" s="24"/>
      <c r="R42" s="24"/>
      <c r="S42" s="24"/>
      <c r="T42" s="24"/>
      <c r="U42" s="24"/>
      <c r="V42" s="24"/>
      <c r="W42" s="24"/>
      <c r="X42" s="16"/>
      <c r="Y42" s="16"/>
      <c r="Z42" s="156">
        <v>5</v>
      </c>
      <c r="AA42" s="157">
        <f t="shared" si="47"/>
        <v>170000</v>
      </c>
      <c r="AB42" s="157">
        <f t="shared" si="48"/>
        <v>175000</v>
      </c>
      <c r="AC42" s="157"/>
      <c r="AD42" s="16"/>
      <c r="AE42" s="16"/>
      <c r="AF42" s="16"/>
      <c r="AG42" s="16"/>
      <c r="AH42" s="157">
        <v>162500</v>
      </c>
      <c r="AI42" s="3"/>
      <c r="AJ42" s="3"/>
      <c r="AK42" s="3"/>
      <c r="AL42" s="3"/>
      <c r="AM42" s="3"/>
      <c r="AN42" s="3"/>
      <c r="AO42" s="3"/>
      <c r="AP42" s="3"/>
      <c r="AQ42" s="3"/>
      <c r="AR42" s="3"/>
      <c r="BB42" s="4"/>
      <c r="BC42" s="4"/>
      <c r="BD42" s="4"/>
      <c r="BE42" s="4"/>
      <c r="BF42" s="4"/>
      <c r="BG42" s="4"/>
      <c r="BH42" s="4"/>
      <c r="BI42" s="4"/>
      <c r="BT42" s="16"/>
      <c r="CL42"/>
      <c r="CM42" s="4"/>
    </row>
    <row r="43" spans="1:91">
      <c r="B43" s="158">
        <v>7</v>
      </c>
      <c r="C43" s="151">
        <v>15</v>
      </c>
      <c r="D43" s="159">
        <v>3</v>
      </c>
      <c r="I43" s="152"/>
      <c r="J43" s="153"/>
      <c r="K43" s="24"/>
      <c r="L43" s="24"/>
      <c r="M43" s="24"/>
      <c r="N43" s="24"/>
      <c r="O43" s="24"/>
      <c r="P43" s="24"/>
      <c r="Q43" s="24"/>
      <c r="R43" s="24"/>
      <c r="S43" s="24"/>
      <c r="T43" s="24"/>
      <c r="U43" s="24"/>
      <c r="V43" s="24"/>
      <c r="W43" s="24"/>
      <c r="X43" s="16"/>
      <c r="Y43" s="16"/>
      <c r="Z43" s="156">
        <v>6</v>
      </c>
      <c r="AA43" s="157">
        <f t="shared" si="47"/>
        <v>204000</v>
      </c>
      <c r="AB43" s="157">
        <f t="shared" si="48"/>
        <v>210000</v>
      </c>
      <c r="AC43" s="157"/>
      <c r="AD43" s="16"/>
      <c r="AE43" s="16"/>
      <c r="AF43" s="16"/>
      <c r="AG43" s="16"/>
      <c r="AH43" s="157">
        <v>195000</v>
      </c>
      <c r="AI43" s="3"/>
      <c r="AJ43" s="3"/>
      <c r="AK43" s="3"/>
      <c r="AL43" s="3"/>
      <c r="AM43" s="3"/>
      <c r="AN43" s="3"/>
      <c r="AO43" s="3"/>
      <c r="AP43" s="3"/>
      <c r="AQ43" s="3"/>
      <c r="AR43" s="3"/>
      <c r="BB43" s="4"/>
      <c r="BC43" s="4"/>
      <c r="BD43" s="4"/>
      <c r="BE43" s="4"/>
      <c r="BF43" s="4"/>
      <c r="BG43" s="4"/>
      <c r="BH43" s="4"/>
      <c r="BI43" s="4"/>
      <c r="BT43" s="16"/>
      <c r="CL43"/>
      <c r="CM43" s="4"/>
    </row>
    <row r="44" spans="1:91" ht="12" customHeight="1">
      <c r="B44" s="158">
        <v>8</v>
      </c>
      <c r="C44" s="151">
        <v>15</v>
      </c>
      <c r="D44" s="159">
        <v>3</v>
      </c>
      <c r="I44" s="152"/>
      <c r="J44" s="153"/>
      <c r="K44" s="24"/>
      <c r="L44" s="24"/>
      <c r="M44" s="24"/>
      <c r="N44" s="24"/>
      <c r="O44" s="24"/>
      <c r="P44" s="24"/>
      <c r="Q44" s="24"/>
      <c r="R44" s="24"/>
      <c r="S44" s="24"/>
      <c r="T44" s="24"/>
      <c r="U44" s="24"/>
      <c r="V44" s="24"/>
      <c r="W44" s="24"/>
      <c r="X44" s="16"/>
      <c r="Y44" s="16"/>
      <c r="Z44" s="156">
        <v>7</v>
      </c>
      <c r="AA44" s="157">
        <f t="shared" si="47"/>
        <v>238000</v>
      </c>
      <c r="AB44" s="157">
        <f t="shared" si="48"/>
        <v>245000</v>
      </c>
      <c r="AC44" s="157"/>
      <c r="AD44" s="16"/>
      <c r="AE44" s="16"/>
      <c r="AF44" s="16"/>
      <c r="AG44" s="16"/>
      <c r="AH44" s="157">
        <v>227500</v>
      </c>
      <c r="AI44" s="3"/>
      <c r="AJ44" s="3"/>
      <c r="AK44" s="3"/>
      <c r="AL44" s="3"/>
      <c r="AM44" s="3"/>
      <c r="AN44" s="3"/>
      <c r="AO44" s="3"/>
      <c r="AP44" s="3"/>
      <c r="AQ44" s="3"/>
      <c r="AR44" s="3"/>
      <c r="BB44" s="4"/>
      <c r="BC44" s="4"/>
      <c r="BD44" s="4"/>
      <c r="BE44" s="4"/>
      <c r="BF44" s="4"/>
      <c r="BG44" s="4"/>
      <c r="BH44" s="4"/>
      <c r="BI44" s="4"/>
      <c r="BU44" s="16"/>
    </row>
    <row r="45" spans="1:91" ht="12" customHeight="1">
      <c r="B45" s="149">
        <v>9</v>
      </c>
      <c r="C45" s="150">
        <v>15</v>
      </c>
      <c r="D45" s="150">
        <v>4</v>
      </c>
      <c r="I45" s="152"/>
      <c r="J45" s="153"/>
      <c r="K45" s="24"/>
      <c r="L45" s="24"/>
      <c r="M45" s="24"/>
      <c r="N45" s="24"/>
      <c r="O45" s="24"/>
      <c r="P45" s="24"/>
      <c r="Q45" s="24"/>
      <c r="R45" s="24"/>
      <c r="S45" s="24"/>
      <c r="T45" s="24"/>
      <c r="U45" s="24"/>
      <c r="V45" s="24"/>
      <c r="W45" s="24"/>
      <c r="X45" s="16"/>
      <c r="Y45" s="16"/>
      <c r="Z45" s="156">
        <v>8</v>
      </c>
      <c r="AA45" s="157">
        <f t="shared" si="47"/>
        <v>272000</v>
      </c>
      <c r="AB45" s="157">
        <f t="shared" si="48"/>
        <v>280000</v>
      </c>
      <c r="AC45" s="157"/>
      <c r="AD45" s="16"/>
      <c r="AE45" s="16"/>
      <c r="AF45" s="16"/>
      <c r="AG45" s="16"/>
      <c r="AH45" s="157">
        <v>260000</v>
      </c>
      <c r="AI45" s="3"/>
      <c r="AJ45" s="3"/>
      <c r="AK45" s="3"/>
      <c r="AL45" s="3"/>
      <c r="AM45" s="3"/>
      <c r="AN45" s="3"/>
      <c r="AO45" s="3"/>
      <c r="AP45" s="3"/>
      <c r="AQ45" s="3"/>
      <c r="AR45" s="3"/>
      <c r="BB45" s="4"/>
      <c r="BC45" s="4"/>
      <c r="BD45" s="4"/>
      <c r="BE45" s="4"/>
      <c r="BF45" s="4"/>
      <c r="BG45" s="4"/>
      <c r="BH45" s="4"/>
      <c r="BI45" s="4"/>
      <c r="BU45" s="16"/>
    </row>
    <row r="46" spans="1:91" ht="12" customHeight="1">
      <c r="B46" s="149">
        <v>10</v>
      </c>
      <c r="C46" s="150">
        <v>15</v>
      </c>
      <c r="D46" s="150">
        <v>4</v>
      </c>
      <c r="I46" s="152"/>
      <c r="J46" s="153"/>
      <c r="K46" s="24"/>
      <c r="L46" s="24"/>
      <c r="M46" s="24"/>
      <c r="N46" s="24"/>
      <c r="O46" s="24"/>
      <c r="P46" s="24"/>
      <c r="Q46" s="24"/>
      <c r="R46" s="24"/>
      <c r="S46" s="24"/>
      <c r="T46" s="24"/>
      <c r="U46" s="24"/>
      <c r="V46" s="24"/>
      <c r="W46" s="24"/>
      <c r="X46" s="16"/>
      <c r="Y46" s="16"/>
      <c r="Z46" s="156">
        <v>9</v>
      </c>
      <c r="AA46" s="157">
        <f t="shared" si="47"/>
        <v>306000</v>
      </c>
      <c r="AB46" s="157">
        <f t="shared" si="48"/>
        <v>315000</v>
      </c>
      <c r="AC46" s="157"/>
      <c r="AD46" s="16"/>
      <c r="AE46" s="16"/>
      <c r="AF46" s="16"/>
      <c r="AG46" s="16"/>
      <c r="AH46" s="157">
        <v>292500</v>
      </c>
      <c r="AI46" s="3"/>
      <c r="AJ46" s="3"/>
      <c r="AK46" s="3"/>
      <c r="AL46" s="3"/>
      <c r="AM46" s="3"/>
      <c r="AN46" s="3"/>
      <c r="AO46" s="3"/>
      <c r="AP46" s="3"/>
      <c r="AQ46" s="3"/>
      <c r="AR46" s="3"/>
      <c r="BB46" s="4"/>
      <c r="BC46" s="4"/>
      <c r="BD46" s="4"/>
      <c r="BE46" s="4"/>
      <c r="BF46" s="4"/>
      <c r="BG46" s="4"/>
      <c r="BH46" s="4"/>
      <c r="BI46" s="4"/>
      <c r="BU46" s="16"/>
    </row>
    <row r="47" spans="1:91">
      <c r="B47" s="158">
        <v>11</v>
      </c>
      <c r="C47" s="151">
        <v>15</v>
      </c>
      <c r="D47" s="159">
        <v>5</v>
      </c>
      <c r="E47" s="10" t="s">
        <v>135</v>
      </c>
      <c r="I47" s="152"/>
      <c r="J47" s="153"/>
      <c r="K47" s="24"/>
      <c r="L47" s="24"/>
      <c r="M47" s="24"/>
      <c r="N47" s="24"/>
      <c r="O47" s="24"/>
      <c r="P47" s="24"/>
      <c r="Q47" s="24"/>
      <c r="R47" s="24"/>
      <c r="S47" s="24"/>
      <c r="T47" s="24"/>
      <c r="U47" s="24"/>
      <c r="V47" s="24"/>
      <c r="W47" s="24"/>
      <c r="X47" s="16"/>
      <c r="Y47" s="16"/>
      <c r="Z47" s="156">
        <v>10</v>
      </c>
      <c r="AA47" s="157">
        <f t="shared" si="47"/>
        <v>340000</v>
      </c>
      <c r="AB47" s="157">
        <f t="shared" si="48"/>
        <v>350000</v>
      </c>
      <c r="AC47" s="157"/>
      <c r="AD47" s="16"/>
      <c r="AE47" s="16"/>
      <c r="AF47" s="16"/>
      <c r="AG47" s="16"/>
      <c r="AH47" s="157">
        <v>325000</v>
      </c>
      <c r="AI47" s="3"/>
      <c r="AJ47" s="3"/>
      <c r="AK47" s="3"/>
      <c r="AL47" s="3"/>
      <c r="AM47" s="3"/>
      <c r="AN47" s="3"/>
      <c r="AO47" s="3"/>
      <c r="AP47" s="3"/>
      <c r="AQ47" s="3"/>
      <c r="AR47" s="3"/>
      <c r="BB47" s="4"/>
      <c r="BC47" s="4"/>
      <c r="BD47" s="4"/>
      <c r="BE47" s="4"/>
      <c r="BF47" s="4"/>
      <c r="BG47" s="4"/>
      <c r="BH47" s="4"/>
      <c r="BI47" s="4"/>
      <c r="BU47" s="16"/>
    </row>
    <row r="48" spans="1:91" ht="12" customHeight="1">
      <c r="B48" s="158">
        <v>12</v>
      </c>
      <c r="C48" s="151">
        <v>15</v>
      </c>
      <c r="D48" s="159">
        <v>5</v>
      </c>
      <c r="E48" s="160">
        <v>40603</v>
      </c>
      <c r="F48" s="161">
        <f>E49-E48</f>
        <v>366</v>
      </c>
      <c r="I48" s="152"/>
      <c r="J48" s="153"/>
      <c r="K48" s="24"/>
      <c r="L48" s="24"/>
      <c r="M48" s="24"/>
      <c r="N48" s="24"/>
      <c r="O48" s="24"/>
      <c r="P48" s="24"/>
      <c r="Q48" s="24"/>
      <c r="R48" s="24"/>
      <c r="S48" s="24"/>
      <c r="T48" s="24"/>
      <c r="U48" s="24"/>
      <c r="V48" s="24"/>
      <c r="W48" s="24"/>
      <c r="X48" s="16"/>
      <c r="Y48" s="16"/>
      <c r="Z48" s="156">
        <v>11</v>
      </c>
      <c r="AA48" s="157">
        <f t="shared" si="47"/>
        <v>374000</v>
      </c>
      <c r="AB48" s="157">
        <f t="shared" si="48"/>
        <v>385000</v>
      </c>
      <c r="AC48" s="157"/>
      <c r="AD48" s="16"/>
      <c r="AE48" s="16"/>
      <c r="AF48" s="16"/>
      <c r="AG48" s="16"/>
      <c r="AH48" s="157">
        <v>357500</v>
      </c>
      <c r="AI48" s="3"/>
      <c r="AJ48" s="3"/>
      <c r="AK48" s="3"/>
      <c r="AL48" s="3"/>
      <c r="AM48" s="3"/>
      <c r="AN48" s="3"/>
      <c r="AO48" s="3"/>
      <c r="AP48" s="3"/>
      <c r="AQ48" s="3"/>
      <c r="AR48" s="3"/>
      <c r="BB48" s="4"/>
      <c r="BC48" s="4"/>
      <c r="BD48" s="4"/>
      <c r="BE48" s="4"/>
      <c r="BF48" s="4"/>
      <c r="BG48" s="4"/>
      <c r="BH48" s="4"/>
      <c r="BI48" s="4"/>
      <c r="BU48" s="16"/>
    </row>
    <row r="49" spans="2:73" ht="12" customHeight="1">
      <c r="B49" s="149">
        <v>13</v>
      </c>
      <c r="C49" s="150">
        <v>15</v>
      </c>
      <c r="D49" s="150">
        <v>6</v>
      </c>
      <c r="E49" s="162">
        <f>DATE(YEAR(E48)+1,3,1)</f>
        <v>40969</v>
      </c>
      <c r="F49" s="163">
        <f t="shared" ref="F49:F72" si="49">E50-E49</f>
        <v>365</v>
      </c>
      <c r="I49" s="152"/>
      <c r="J49" s="153"/>
      <c r="X49" s="16"/>
      <c r="Y49" s="16"/>
      <c r="Z49" s="156">
        <v>12</v>
      </c>
      <c r="AA49" s="157">
        <f t="shared" si="47"/>
        <v>408000</v>
      </c>
      <c r="AB49" s="157">
        <f t="shared" si="48"/>
        <v>420000</v>
      </c>
      <c r="AC49" s="157"/>
      <c r="AD49" s="16"/>
      <c r="AE49" s="16"/>
      <c r="AF49" s="16"/>
      <c r="AG49" s="16"/>
      <c r="AH49" s="157">
        <v>390000</v>
      </c>
      <c r="AI49" s="3"/>
      <c r="AJ49" s="3"/>
      <c r="AK49" s="3"/>
      <c r="AL49" s="3"/>
      <c r="AM49" s="3"/>
      <c r="AN49" s="3"/>
      <c r="AO49" s="3"/>
      <c r="AP49" s="3"/>
      <c r="AQ49" s="3"/>
      <c r="AR49" s="3"/>
      <c r="BB49" s="4"/>
      <c r="BC49" s="4"/>
      <c r="BD49" s="4"/>
      <c r="BE49" s="4"/>
      <c r="BF49" s="4"/>
      <c r="BG49" s="4"/>
      <c r="BH49" s="4"/>
      <c r="BI49" s="4"/>
      <c r="BU49" s="16"/>
    </row>
    <row r="50" spans="2:73" ht="12" customHeight="1">
      <c r="B50" s="149">
        <v>14</v>
      </c>
      <c r="C50" s="150">
        <v>15</v>
      </c>
      <c r="D50" s="150">
        <v>6</v>
      </c>
      <c r="E50" s="162">
        <f t="shared" ref="E50:E73" si="50">DATE(YEAR(E49)+1,3,1)</f>
        <v>41334</v>
      </c>
      <c r="F50" s="163">
        <f t="shared" si="49"/>
        <v>365</v>
      </c>
      <c r="I50" s="152"/>
      <c r="J50" s="153"/>
      <c r="X50" s="16"/>
      <c r="Y50" s="16"/>
      <c r="Z50" s="156">
        <v>13</v>
      </c>
      <c r="AA50" s="157">
        <f t="shared" si="47"/>
        <v>442000</v>
      </c>
      <c r="AB50" s="157">
        <f t="shared" si="48"/>
        <v>455000</v>
      </c>
      <c r="AC50" s="157"/>
      <c r="AD50" s="16"/>
      <c r="AE50" s="16"/>
      <c r="AF50" s="16"/>
      <c r="AG50" s="16"/>
      <c r="AH50" s="157">
        <v>422500</v>
      </c>
      <c r="AI50" s="3"/>
      <c r="AJ50" s="3"/>
      <c r="AK50" s="3"/>
      <c r="AL50" s="3"/>
      <c r="AM50" s="3"/>
      <c r="AN50" s="3"/>
      <c r="AO50" s="3"/>
      <c r="AP50" s="3"/>
      <c r="AQ50" s="3"/>
      <c r="AR50" s="3"/>
      <c r="BB50" s="4"/>
      <c r="BC50" s="4"/>
      <c r="BD50" s="4"/>
      <c r="BE50" s="4"/>
      <c r="BF50" s="4"/>
      <c r="BG50" s="4"/>
      <c r="BH50" s="4"/>
      <c r="BI50" s="4"/>
      <c r="BU50" s="16"/>
    </row>
    <row r="51" spans="2:73" ht="12" customHeight="1">
      <c r="B51" s="158">
        <v>15</v>
      </c>
      <c r="C51" s="151">
        <v>15</v>
      </c>
      <c r="D51" s="159">
        <v>7</v>
      </c>
      <c r="E51" s="162">
        <f t="shared" si="50"/>
        <v>41699</v>
      </c>
      <c r="F51" s="163">
        <f t="shared" si="49"/>
        <v>365</v>
      </c>
      <c r="I51" s="152"/>
      <c r="J51" s="153"/>
      <c r="X51" s="16"/>
      <c r="Y51" s="16"/>
      <c r="Z51" s="156">
        <v>14</v>
      </c>
      <c r="AA51" s="157">
        <f t="shared" si="47"/>
        <v>476000</v>
      </c>
      <c r="AB51" s="157">
        <f t="shared" si="48"/>
        <v>490000</v>
      </c>
      <c r="AC51" s="157"/>
      <c r="AD51" s="16"/>
      <c r="AE51" s="16"/>
      <c r="AF51" s="16"/>
      <c r="AG51" s="16"/>
      <c r="AH51" s="157">
        <v>455000</v>
      </c>
      <c r="AI51" s="3"/>
      <c r="AJ51" s="3"/>
      <c r="AK51" s="3"/>
      <c r="AL51" s="3"/>
      <c r="AM51" s="3"/>
      <c r="AN51" s="3"/>
      <c r="AO51" s="3"/>
      <c r="AP51" s="3"/>
      <c r="AQ51" s="3"/>
      <c r="AR51" s="3"/>
      <c r="BB51" s="4"/>
      <c r="BC51" s="4"/>
      <c r="BD51" s="4"/>
      <c r="BE51" s="4"/>
      <c r="BF51" s="4"/>
      <c r="BG51" s="4"/>
      <c r="BH51" s="4"/>
      <c r="BI51" s="4"/>
      <c r="BU51" s="16"/>
    </row>
    <row r="52" spans="2:73" ht="12" customHeight="1">
      <c r="B52" s="158">
        <v>16</v>
      </c>
      <c r="C52" s="151">
        <v>15</v>
      </c>
      <c r="D52" s="159">
        <v>7</v>
      </c>
      <c r="E52" s="162">
        <f t="shared" si="50"/>
        <v>42064</v>
      </c>
      <c r="F52" s="164">
        <f t="shared" si="49"/>
        <v>366</v>
      </c>
      <c r="X52" s="16"/>
      <c r="Y52" s="16"/>
      <c r="Z52" s="156">
        <v>15</v>
      </c>
      <c r="AA52" s="157">
        <f t="shared" si="47"/>
        <v>510000</v>
      </c>
      <c r="AB52" s="157">
        <f t="shared" si="48"/>
        <v>525000</v>
      </c>
      <c r="AC52" s="157"/>
      <c r="AD52" s="16"/>
      <c r="AE52" s="16"/>
      <c r="AF52" s="16"/>
      <c r="AG52" s="16"/>
      <c r="AH52" s="157">
        <v>487500</v>
      </c>
      <c r="AI52" s="3"/>
      <c r="AJ52" s="3"/>
      <c r="AK52" s="3"/>
      <c r="AL52" s="3"/>
      <c r="AM52" s="3"/>
      <c r="AN52" s="3"/>
      <c r="AO52" s="3"/>
      <c r="AP52" s="3"/>
      <c r="AQ52" s="3"/>
      <c r="AR52" s="3"/>
      <c r="BB52" s="4"/>
      <c r="BC52" s="4"/>
      <c r="BD52" s="4"/>
      <c r="BE52" s="4"/>
      <c r="BF52" s="4"/>
      <c r="BG52" s="4"/>
      <c r="BH52" s="4"/>
      <c r="BI52" s="4"/>
      <c r="BU52" s="16"/>
    </row>
    <row r="53" spans="2:73" ht="12" customHeight="1">
      <c r="B53" s="149">
        <v>17</v>
      </c>
      <c r="C53" s="150">
        <v>15</v>
      </c>
      <c r="D53" s="150">
        <v>8</v>
      </c>
      <c r="E53" s="162">
        <f t="shared" si="50"/>
        <v>42430</v>
      </c>
      <c r="F53" s="163">
        <f t="shared" si="49"/>
        <v>365</v>
      </c>
      <c r="I53" s="165" t="s">
        <v>136</v>
      </c>
      <c r="J53" s="165"/>
      <c r="X53" s="16"/>
      <c r="Y53" s="16"/>
      <c r="Z53" s="156">
        <v>16</v>
      </c>
      <c r="AA53" s="157">
        <f t="shared" si="47"/>
        <v>544000</v>
      </c>
      <c r="AB53" s="157">
        <f t="shared" si="48"/>
        <v>560000</v>
      </c>
      <c r="AC53" s="157"/>
      <c r="AD53" s="16"/>
      <c r="AE53" s="16"/>
      <c r="AF53" s="16"/>
      <c r="AG53" s="16"/>
      <c r="AH53" s="157">
        <v>520000</v>
      </c>
      <c r="AI53" s="3"/>
      <c r="AJ53" s="3"/>
      <c r="AK53" s="3"/>
      <c r="AL53" s="3"/>
      <c r="AM53" s="3"/>
      <c r="AN53" s="3"/>
      <c r="AO53" s="3"/>
      <c r="AP53" s="3"/>
      <c r="AQ53" s="3"/>
      <c r="AR53" s="3"/>
      <c r="BB53" s="4"/>
      <c r="BC53" s="4"/>
      <c r="BD53" s="4"/>
      <c r="BE53" s="4"/>
      <c r="BF53" s="4"/>
      <c r="BG53" s="4"/>
      <c r="BH53" s="4"/>
      <c r="BI53" s="4"/>
      <c r="BU53" s="16"/>
    </row>
    <row r="54" spans="2:73" ht="12" customHeight="1">
      <c r="B54" s="149">
        <v>18</v>
      </c>
      <c r="C54" s="150">
        <v>15</v>
      </c>
      <c r="D54" s="150">
        <v>8</v>
      </c>
      <c r="E54" s="162">
        <f t="shared" si="50"/>
        <v>42795</v>
      </c>
      <c r="F54" s="163">
        <f t="shared" si="49"/>
        <v>365</v>
      </c>
      <c r="H54" s="22"/>
      <c r="I54" s="166">
        <v>41306</v>
      </c>
      <c r="J54" s="167"/>
      <c r="K54" s="168">
        <f>DATE(YEAR(I54),MONTH(I54)+1,0)</f>
        <v>41333</v>
      </c>
      <c r="X54" s="16"/>
      <c r="Y54" s="16"/>
      <c r="Z54" s="156">
        <v>17</v>
      </c>
      <c r="AA54" s="157">
        <f t="shared" si="47"/>
        <v>578000</v>
      </c>
      <c r="AB54" s="157">
        <f t="shared" si="48"/>
        <v>595000</v>
      </c>
      <c r="AC54" s="157"/>
      <c r="AD54" s="16"/>
      <c r="AE54" s="16"/>
      <c r="AF54" s="16"/>
      <c r="AG54" s="16"/>
      <c r="AH54" s="157">
        <v>552500</v>
      </c>
      <c r="AI54" s="3"/>
      <c r="AJ54" s="3"/>
      <c r="AK54" s="3"/>
      <c r="AL54" s="3"/>
      <c r="AM54" s="3"/>
      <c r="AN54" s="3"/>
      <c r="AO54" s="3"/>
      <c r="AP54" s="3"/>
      <c r="AQ54" s="3"/>
      <c r="AR54" s="3"/>
      <c r="BB54" s="4"/>
      <c r="BC54" s="4"/>
      <c r="BD54" s="4"/>
      <c r="BE54" s="4"/>
      <c r="BF54" s="4"/>
      <c r="BG54" s="4"/>
      <c r="BH54" s="4"/>
      <c r="BI54" s="4"/>
      <c r="BU54" s="16"/>
    </row>
    <row r="55" spans="2:73" ht="12" customHeight="1">
      <c r="B55" s="158">
        <v>19</v>
      </c>
      <c r="C55" s="151">
        <v>15</v>
      </c>
      <c r="D55" s="159">
        <v>9</v>
      </c>
      <c r="E55" s="162">
        <f t="shared" si="50"/>
        <v>43160</v>
      </c>
      <c r="F55" s="163">
        <f t="shared" si="49"/>
        <v>365</v>
      </c>
      <c r="H55" s="22">
        <v>4016</v>
      </c>
      <c r="I55" s="166">
        <f>DATE(LEFT($I$54,4)-H55,2,1)</f>
        <v>41671</v>
      </c>
      <c r="J55" s="167"/>
      <c r="K55" s="168">
        <f t="shared" ref="K55:K73" si="51">DATE(YEAR(I55),MONTH(I55)+1,0)</f>
        <v>41698</v>
      </c>
      <c r="X55" s="16"/>
      <c r="Y55" s="16"/>
      <c r="Z55" s="156">
        <v>18</v>
      </c>
      <c r="AA55" s="157">
        <f t="shared" si="47"/>
        <v>612000</v>
      </c>
      <c r="AB55" s="157">
        <f t="shared" si="48"/>
        <v>630000</v>
      </c>
      <c r="AC55" s="157"/>
      <c r="AD55" s="16"/>
      <c r="AE55" s="16"/>
      <c r="AF55" s="16"/>
      <c r="AG55" s="16"/>
      <c r="AH55" s="157">
        <v>585000</v>
      </c>
      <c r="AI55" s="3"/>
      <c r="AJ55" s="3"/>
      <c r="AK55" s="3"/>
      <c r="AL55" s="3"/>
      <c r="AM55" s="3"/>
      <c r="AN55" s="3"/>
      <c r="AO55" s="3"/>
      <c r="AP55" s="3"/>
      <c r="AQ55" s="3"/>
      <c r="AR55" s="3"/>
      <c r="BB55" s="4"/>
      <c r="BC55" s="4"/>
      <c r="BD55" s="4"/>
      <c r="BE55" s="4"/>
      <c r="BF55" s="4"/>
      <c r="BG55" s="4"/>
      <c r="BH55" s="4"/>
      <c r="BI55" s="4"/>
      <c r="BU55" s="16"/>
    </row>
    <row r="56" spans="2:73">
      <c r="B56" s="169">
        <v>20</v>
      </c>
      <c r="C56" s="170">
        <v>15</v>
      </c>
      <c r="D56" s="170">
        <v>9</v>
      </c>
      <c r="E56" s="162">
        <f t="shared" si="50"/>
        <v>43525</v>
      </c>
      <c r="F56" s="164">
        <f t="shared" si="49"/>
        <v>366</v>
      </c>
      <c r="H56" s="22">
        <f>H55-1</f>
        <v>4015</v>
      </c>
      <c r="I56" s="166">
        <f t="shared" ref="I56:I73" si="52">DATE(LEFT($I$54,4)-H56,2,1)</f>
        <v>42036</v>
      </c>
      <c r="J56" s="167"/>
      <c r="K56" s="168">
        <f t="shared" si="51"/>
        <v>42063</v>
      </c>
      <c r="X56" s="16"/>
      <c r="Y56" s="16"/>
      <c r="Z56" s="156">
        <v>19</v>
      </c>
      <c r="AA56" s="157">
        <f t="shared" si="47"/>
        <v>646000</v>
      </c>
      <c r="AB56" s="157">
        <f t="shared" si="48"/>
        <v>665000</v>
      </c>
      <c r="AC56" s="157"/>
      <c r="AD56" s="16"/>
      <c r="AE56" s="16"/>
      <c r="AF56" s="16"/>
      <c r="AG56" s="16"/>
      <c r="AH56" s="157">
        <v>617500</v>
      </c>
      <c r="AI56" s="3"/>
      <c r="AJ56" s="3"/>
      <c r="AK56" s="3"/>
      <c r="AL56" s="3"/>
      <c r="AM56" s="3"/>
      <c r="AN56" s="3"/>
      <c r="AO56" s="3"/>
      <c r="AP56" s="3"/>
      <c r="AQ56" s="3"/>
      <c r="AR56" s="3"/>
      <c r="BB56" s="4"/>
      <c r="BC56" s="4"/>
      <c r="BD56" s="4"/>
      <c r="BE56" s="4"/>
      <c r="BF56" s="4"/>
      <c r="BG56" s="4"/>
      <c r="BH56" s="4"/>
      <c r="BI56" s="4"/>
      <c r="BU56" s="16"/>
    </row>
    <row r="57" spans="2:73" ht="12" customHeight="1">
      <c r="B57" s="169">
        <v>21</v>
      </c>
      <c r="C57" s="170">
        <v>15</v>
      </c>
      <c r="D57" s="170">
        <v>10</v>
      </c>
      <c r="E57" s="162">
        <f t="shared" si="50"/>
        <v>43891</v>
      </c>
      <c r="F57" s="163">
        <f t="shared" si="49"/>
        <v>365</v>
      </c>
      <c r="H57" s="22">
        <f t="shared" ref="H57:H73" si="53">H56-1</f>
        <v>4014</v>
      </c>
      <c r="I57" s="166">
        <f t="shared" si="52"/>
        <v>42401</v>
      </c>
      <c r="J57" s="167"/>
      <c r="K57" s="171">
        <f t="shared" si="51"/>
        <v>42429</v>
      </c>
      <c r="X57" s="16"/>
      <c r="Y57" s="16"/>
      <c r="Z57" s="156">
        <v>20</v>
      </c>
      <c r="AA57" s="157">
        <f t="shared" si="47"/>
        <v>680000</v>
      </c>
      <c r="AB57" s="157">
        <f t="shared" si="48"/>
        <v>700000</v>
      </c>
      <c r="AC57" s="157"/>
      <c r="AD57" s="16"/>
      <c r="AE57" s="16"/>
      <c r="AF57" s="16"/>
      <c r="AG57" s="16"/>
      <c r="AH57" s="157">
        <v>650000</v>
      </c>
      <c r="AI57" s="3"/>
      <c r="AJ57" s="3"/>
      <c r="AK57" s="3"/>
      <c r="AL57" s="3"/>
      <c r="AM57" s="3"/>
      <c r="AN57" s="3"/>
      <c r="AO57" s="3"/>
      <c r="AP57" s="3"/>
      <c r="AQ57" s="3"/>
      <c r="AR57" s="3"/>
      <c r="BB57" s="4"/>
      <c r="BC57" s="4"/>
      <c r="BD57" s="4"/>
      <c r="BE57" s="4"/>
      <c r="BF57" s="4"/>
      <c r="BG57" s="4"/>
      <c r="BH57" s="4"/>
      <c r="BI57" s="4"/>
      <c r="BU57" s="16"/>
    </row>
    <row r="58" spans="2:73" ht="12" customHeight="1">
      <c r="B58" s="169">
        <v>22</v>
      </c>
      <c r="C58" s="170">
        <v>15</v>
      </c>
      <c r="D58" s="170">
        <v>10</v>
      </c>
      <c r="E58" s="162">
        <f t="shared" si="50"/>
        <v>44256</v>
      </c>
      <c r="F58" s="163">
        <f t="shared" si="49"/>
        <v>365</v>
      </c>
      <c r="H58" s="22">
        <f t="shared" si="53"/>
        <v>4013</v>
      </c>
      <c r="I58" s="166">
        <f t="shared" si="52"/>
        <v>42767</v>
      </c>
      <c r="J58" s="167"/>
      <c r="K58" s="168">
        <f t="shared" si="51"/>
        <v>42794</v>
      </c>
      <c r="X58" s="16"/>
      <c r="Y58" s="16"/>
      <c r="Z58" s="16"/>
      <c r="AA58" s="16"/>
      <c r="AB58" s="16"/>
      <c r="AC58" s="16"/>
      <c r="AD58" s="16"/>
      <c r="AE58" s="16"/>
      <c r="AF58" s="16"/>
      <c r="AG58" s="16"/>
      <c r="AH58" s="172"/>
      <c r="AI58" s="3"/>
      <c r="AJ58" s="3"/>
      <c r="AK58" s="3"/>
      <c r="AL58" s="3"/>
      <c r="AM58" s="3"/>
      <c r="AN58" s="3"/>
      <c r="AO58" s="3"/>
      <c r="AP58" s="3"/>
      <c r="AQ58" s="3"/>
      <c r="AR58" s="3"/>
      <c r="BB58" s="4"/>
      <c r="BC58" s="4"/>
      <c r="BD58" s="4"/>
      <c r="BE58" s="4"/>
      <c r="BF58" s="4"/>
      <c r="BG58" s="4"/>
      <c r="BH58" s="4"/>
      <c r="BI58" s="4"/>
      <c r="BU58" s="16"/>
    </row>
    <row r="59" spans="2:73" ht="12" customHeight="1">
      <c r="B59" s="169">
        <v>23</v>
      </c>
      <c r="C59" s="170">
        <v>15</v>
      </c>
      <c r="D59" s="170">
        <v>10</v>
      </c>
      <c r="E59" s="162">
        <f t="shared" si="50"/>
        <v>44621</v>
      </c>
      <c r="F59" s="163">
        <f t="shared" si="49"/>
        <v>365</v>
      </c>
      <c r="H59" s="22">
        <f t="shared" si="53"/>
        <v>4012</v>
      </c>
      <c r="I59" s="166">
        <f t="shared" si="52"/>
        <v>43132</v>
      </c>
      <c r="J59" s="167"/>
      <c r="K59" s="168">
        <f t="shared" si="51"/>
        <v>43159</v>
      </c>
      <c r="X59" s="16"/>
      <c r="Y59" s="16"/>
      <c r="Z59" s="16"/>
      <c r="AA59" s="16"/>
      <c r="AB59" s="16"/>
      <c r="AC59" s="16"/>
      <c r="AD59" s="16"/>
      <c r="AE59" s="16"/>
      <c r="AF59" s="16"/>
      <c r="AG59" s="16"/>
      <c r="AH59" s="3"/>
      <c r="AI59" s="3"/>
      <c r="AJ59" s="3"/>
      <c r="AK59" s="3"/>
      <c r="AL59" s="3"/>
      <c r="AM59" s="3"/>
      <c r="AN59" s="3"/>
      <c r="AO59" s="3"/>
      <c r="AP59" s="3"/>
      <c r="AQ59" s="3"/>
      <c r="AR59" s="3"/>
      <c r="BB59" s="4"/>
      <c r="BC59" s="4"/>
      <c r="BD59" s="4"/>
      <c r="BE59" s="4"/>
      <c r="BF59" s="4"/>
      <c r="BG59" s="4"/>
      <c r="BH59" s="4"/>
      <c r="BI59" s="4"/>
      <c r="BU59" s="16"/>
    </row>
    <row r="60" spans="2:73" ht="12" customHeight="1">
      <c r="B60" s="169">
        <v>24</v>
      </c>
      <c r="C60" s="170">
        <v>15</v>
      </c>
      <c r="D60" s="170">
        <v>10</v>
      </c>
      <c r="E60" s="162">
        <f t="shared" si="50"/>
        <v>44986</v>
      </c>
      <c r="F60" s="164">
        <f t="shared" si="49"/>
        <v>366</v>
      </c>
      <c r="H60" s="22">
        <f t="shared" si="53"/>
        <v>4011</v>
      </c>
      <c r="I60" s="166">
        <f t="shared" si="52"/>
        <v>43497</v>
      </c>
      <c r="J60" s="167"/>
      <c r="K60" s="168">
        <f t="shared" si="51"/>
        <v>43524</v>
      </c>
      <c r="X60" s="16"/>
      <c r="Y60" s="16"/>
      <c r="Z60" s="16"/>
      <c r="AA60" s="16"/>
      <c r="AB60" s="16"/>
      <c r="AC60" s="16"/>
      <c r="AD60" s="16"/>
      <c r="AE60" s="16"/>
      <c r="AF60" s="16"/>
      <c r="AG60" s="16"/>
      <c r="AH60" s="3"/>
      <c r="AI60" s="3"/>
      <c r="AJ60" s="3"/>
      <c r="AK60" s="3"/>
      <c r="AL60" s="3"/>
      <c r="AM60" s="3"/>
      <c r="AN60" s="3"/>
      <c r="AO60" s="3"/>
      <c r="AP60" s="3"/>
      <c r="AQ60" s="3"/>
      <c r="AR60" s="3"/>
      <c r="BB60" s="4"/>
      <c r="BC60" s="4"/>
      <c r="BD60" s="4"/>
      <c r="BE60" s="4"/>
      <c r="BF60" s="4"/>
      <c r="BG60" s="4"/>
      <c r="BH60" s="4"/>
      <c r="BI60" s="4"/>
      <c r="BU60" s="16"/>
    </row>
    <row r="61" spans="2:73">
      <c r="B61" s="169">
        <v>25</v>
      </c>
      <c r="C61" s="170">
        <v>15</v>
      </c>
      <c r="D61" s="170">
        <v>10</v>
      </c>
      <c r="E61" s="162">
        <f t="shared" si="50"/>
        <v>45352</v>
      </c>
      <c r="F61" s="163">
        <f t="shared" si="49"/>
        <v>365</v>
      </c>
      <c r="H61" s="22">
        <f t="shared" si="53"/>
        <v>4010</v>
      </c>
      <c r="I61" s="166">
        <f t="shared" si="52"/>
        <v>43862</v>
      </c>
      <c r="J61" s="167"/>
      <c r="K61" s="171">
        <f t="shared" si="51"/>
        <v>43890</v>
      </c>
      <c r="X61" s="16"/>
      <c r="Y61" s="16"/>
      <c r="Z61" s="16"/>
      <c r="AA61" s="16"/>
      <c r="AB61" s="16"/>
      <c r="AC61" s="16"/>
      <c r="AD61" s="16"/>
      <c r="AE61" s="16"/>
      <c r="AF61" s="16"/>
      <c r="AG61" s="16"/>
      <c r="AH61" s="3"/>
      <c r="AI61" s="3"/>
      <c r="AJ61" s="3"/>
      <c r="AK61" s="3"/>
      <c r="AL61" s="3"/>
      <c r="AM61" s="3"/>
      <c r="AN61" s="3"/>
      <c r="AO61" s="3"/>
      <c r="AP61" s="3"/>
      <c r="AQ61" s="3"/>
      <c r="AR61" s="3"/>
      <c r="BB61" s="4"/>
      <c r="BC61" s="4"/>
      <c r="BD61" s="4"/>
      <c r="BE61" s="4"/>
      <c r="BF61" s="4"/>
      <c r="BG61" s="4"/>
      <c r="BH61" s="4"/>
      <c r="BI61" s="4"/>
      <c r="BU61" s="16"/>
    </row>
    <row r="62" spans="2:73" ht="12" customHeight="1">
      <c r="B62" s="169">
        <v>26</v>
      </c>
      <c r="C62" s="170">
        <v>15</v>
      </c>
      <c r="D62" s="170">
        <v>10</v>
      </c>
      <c r="E62" s="162">
        <f t="shared" si="50"/>
        <v>45717</v>
      </c>
      <c r="F62" s="163">
        <f t="shared" si="49"/>
        <v>365</v>
      </c>
      <c r="H62" s="22">
        <f t="shared" si="53"/>
        <v>4009</v>
      </c>
      <c r="I62" s="166">
        <f t="shared" si="52"/>
        <v>44228</v>
      </c>
      <c r="J62" s="167"/>
      <c r="K62" s="168">
        <f t="shared" si="51"/>
        <v>44255</v>
      </c>
      <c r="X62" s="16"/>
      <c r="Y62" s="16"/>
      <c r="Z62" s="16"/>
      <c r="AA62" s="16"/>
      <c r="AB62" s="16"/>
      <c r="AC62" s="16"/>
      <c r="AD62" s="16"/>
      <c r="AE62" s="16"/>
      <c r="AF62" s="16"/>
      <c r="AG62" s="16"/>
      <c r="AH62" s="3"/>
      <c r="AI62" s="3"/>
      <c r="AJ62" s="3"/>
      <c r="AK62" s="3"/>
      <c r="AL62" s="3"/>
      <c r="AM62" s="3"/>
      <c r="AN62" s="3"/>
      <c r="AO62" s="3"/>
      <c r="AP62" s="3"/>
      <c r="AQ62" s="3"/>
      <c r="AR62" s="3"/>
      <c r="BB62" s="4"/>
      <c r="BC62" s="4"/>
      <c r="BD62" s="4"/>
      <c r="BE62" s="4"/>
      <c r="BF62" s="4"/>
      <c r="BG62" s="4"/>
      <c r="BH62" s="4"/>
      <c r="BI62" s="4"/>
      <c r="BU62" s="16"/>
    </row>
    <row r="63" spans="2:73" ht="12" customHeight="1">
      <c r="B63" s="169">
        <v>27</v>
      </c>
      <c r="C63" s="170">
        <v>15</v>
      </c>
      <c r="D63" s="170">
        <v>10</v>
      </c>
      <c r="E63" s="162">
        <f t="shared" si="50"/>
        <v>46082</v>
      </c>
      <c r="F63" s="163">
        <f t="shared" si="49"/>
        <v>365</v>
      </c>
      <c r="H63" s="22">
        <f t="shared" si="53"/>
        <v>4008</v>
      </c>
      <c r="I63" s="166">
        <f t="shared" si="52"/>
        <v>44593</v>
      </c>
      <c r="J63" s="167"/>
      <c r="K63" s="168">
        <f t="shared" si="51"/>
        <v>44620</v>
      </c>
      <c r="X63" s="16"/>
      <c r="Y63" s="16"/>
      <c r="Z63" s="16"/>
      <c r="AA63" s="16"/>
      <c r="AB63" s="16"/>
      <c r="AC63" s="16"/>
      <c r="AD63" s="16"/>
      <c r="AE63" s="16"/>
      <c r="AF63" s="16"/>
      <c r="AG63" s="16"/>
      <c r="AH63" s="3"/>
      <c r="AI63" s="3"/>
      <c r="AJ63" s="3"/>
      <c r="AK63" s="3"/>
      <c r="AL63" s="3"/>
      <c r="AM63" s="3"/>
      <c r="AN63" s="3"/>
      <c r="AO63" s="3"/>
      <c r="AP63" s="3"/>
      <c r="AQ63" s="3"/>
      <c r="AR63" s="3"/>
      <c r="BB63" s="4"/>
      <c r="BC63" s="4"/>
      <c r="BD63" s="4"/>
      <c r="BE63" s="4"/>
      <c r="BF63" s="4"/>
      <c r="BG63" s="4"/>
      <c r="BH63" s="4"/>
      <c r="BI63" s="4"/>
      <c r="BU63" s="16"/>
    </row>
    <row r="64" spans="2:73" ht="12" customHeight="1">
      <c r="B64" s="169">
        <v>28</v>
      </c>
      <c r="C64" s="170">
        <v>15</v>
      </c>
      <c r="D64" s="170">
        <v>10</v>
      </c>
      <c r="E64" s="162">
        <f t="shared" si="50"/>
        <v>46447</v>
      </c>
      <c r="F64" s="164">
        <f t="shared" si="49"/>
        <v>366</v>
      </c>
      <c r="H64" s="22">
        <f t="shared" si="53"/>
        <v>4007</v>
      </c>
      <c r="I64" s="166">
        <f t="shared" si="52"/>
        <v>44958</v>
      </c>
      <c r="J64" s="167"/>
      <c r="K64" s="168">
        <f t="shared" si="51"/>
        <v>44985</v>
      </c>
      <c r="X64" s="16"/>
      <c r="Y64" s="16"/>
      <c r="Z64" s="16"/>
      <c r="AA64" s="16"/>
      <c r="AB64" s="16"/>
      <c r="AC64" s="16"/>
      <c r="AD64" s="16"/>
      <c r="AE64" s="16"/>
      <c r="AF64" s="16"/>
      <c r="AG64" s="16"/>
      <c r="AH64" s="16"/>
      <c r="AI64" s="16"/>
      <c r="AJ64" s="3"/>
      <c r="AK64" s="3"/>
      <c r="AL64" s="3"/>
      <c r="AM64" s="3"/>
      <c r="AN64" s="3"/>
      <c r="AO64" s="3"/>
      <c r="AP64" s="3"/>
      <c r="AQ64" s="3"/>
      <c r="AR64" s="3"/>
      <c r="BB64" s="4"/>
      <c r="BC64" s="4"/>
      <c r="BD64" s="4"/>
      <c r="BE64" s="4"/>
      <c r="BF64" s="4"/>
      <c r="BG64" s="4"/>
      <c r="BH64" s="4"/>
      <c r="BI64" s="4"/>
      <c r="BU64" s="16"/>
    </row>
    <row r="65" spans="2:73" ht="12" customHeight="1">
      <c r="B65" s="169">
        <v>29</v>
      </c>
      <c r="C65" s="170">
        <v>15</v>
      </c>
      <c r="D65" s="170">
        <v>10</v>
      </c>
      <c r="E65" s="162">
        <f t="shared" si="50"/>
        <v>46813</v>
      </c>
      <c r="F65" s="163">
        <f t="shared" si="49"/>
        <v>365</v>
      </c>
      <c r="H65" s="22">
        <f t="shared" si="53"/>
        <v>4006</v>
      </c>
      <c r="I65" s="166">
        <f t="shared" si="52"/>
        <v>45323</v>
      </c>
      <c r="J65" s="167"/>
      <c r="K65" s="171">
        <f t="shared" si="51"/>
        <v>45351</v>
      </c>
      <c r="X65" s="16"/>
      <c r="Y65" s="16"/>
      <c r="Z65" s="16"/>
      <c r="AA65" s="16"/>
      <c r="AB65" s="16"/>
      <c r="AC65" s="16"/>
      <c r="AD65" s="16"/>
      <c r="AE65" s="16"/>
      <c r="AF65" s="16"/>
      <c r="AG65" s="16"/>
      <c r="AH65" s="16"/>
      <c r="AI65" s="16"/>
      <c r="AJ65" s="3"/>
      <c r="AK65" s="3"/>
      <c r="AL65" s="3"/>
      <c r="AM65" s="3"/>
      <c r="AN65" s="3"/>
      <c r="AO65" s="3"/>
      <c r="AP65" s="3"/>
      <c r="AQ65" s="3"/>
      <c r="AR65" s="3"/>
      <c r="BB65" s="4"/>
      <c r="BC65" s="4"/>
      <c r="BD65" s="4"/>
      <c r="BE65" s="4"/>
      <c r="BF65" s="4"/>
      <c r="BG65" s="4"/>
      <c r="BH65" s="4"/>
      <c r="BI65" s="4"/>
      <c r="BU65" s="16"/>
    </row>
    <row r="66" spans="2:73" ht="12" customHeight="1">
      <c r="B66" s="169">
        <v>30</v>
      </c>
      <c r="C66" s="170">
        <v>15</v>
      </c>
      <c r="D66" s="170">
        <v>10</v>
      </c>
      <c r="E66" s="162">
        <f t="shared" si="50"/>
        <v>47178</v>
      </c>
      <c r="F66" s="163">
        <f t="shared" si="49"/>
        <v>365</v>
      </c>
      <c r="H66" s="22">
        <f t="shared" si="53"/>
        <v>4005</v>
      </c>
      <c r="I66" s="166">
        <f t="shared" si="52"/>
        <v>45689</v>
      </c>
      <c r="J66" s="167"/>
      <c r="K66" s="168">
        <f t="shared" si="51"/>
        <v>45716</v>
      </c>
      <c r="X66" s="16"/>
      <c r="Y66" s="16"/>
      <c r="Z66" s="16"/>
      <c r="AA66" s="16"/>
      <c r="AB66" s="16"/>
      <c r="AC66" s="16"/>
      <c r="AD66" s="16"/>
      <c r="AE66" s="16"/>
      <c r="AF66" s="16"/>
      <c r="AG66" s="16"/>
      <c r="AH66" s="16"/>
      <c r="AI66" s="16"/>
      <c r="AJ66" s="3"/>
      <c r="AK66" s="3"/>
      <c r="AL66" s="3"/>
      <c r="AM66" s="3"/>
      <c r="AN66" s="3"/>
      <c r="AO66" s="3"/>
      <c r="AP66" s="3"/>
      <c r="AQ66" s="3"/>
      <c r="AR66" s="3"/>
      <c r="BB66" s="4"/>
      <c r="BC66" s="4"/>
      <c r="BD66" s="4"/>
      <c r="BE66" s="4"/>
      <c r="BF66" s="4"/>
      <c r="BG66" s="4"/>
      <c r="BH66" s="4"/>
      <c r="BI66" s="4"/>
      <c r="BU66" s="16"/>
    </row>
    <row r="67" spans="2:73" ht="12" customHeight="1">
      <c r="B67" s="169">
        <v>31</v>
      </c>
      <c r="C67" s="170">
        <v>15</v>
      </c>
      <c r="D67" s="170">
        <v>10</v>
      </c>
      <c r="E67" s="162">
        <f t="shared" si="50"/>
        <v>47543</v>
      </c>
      <c r="F67" s="163">
        <f t="shared" si="49"/>
        <v>365</v>
      </c>
      <c r="H67" s="22">
        <f t="shared" si="53"/>
        <v>4004</v>
      </c>
      <c r="I67" s="166">
        <f t="shared" si="52"/>
        <v>46054</v>
      </c>
      <c r="J67" s="167"/>
      <c r="K67" s="168">
        <f t="shared" si="51"/>
        <v>46081</v>
      </c>
      <c r="X67" s="16"/>
      <c r="Y67" s="16"/>
      <c r="Z67" s="16"/>
      <c r="AA67" s="16"/>
      <c r="AB67" s="16"/>
      <c r="AC67" s="16"/>
      <c r="AD67" s="16"/>
      <c r="AE67" s="16"/>
      <c r="AF67" s="16"/>
      <c r="AG67" s="16"/>
      <c r="AH67" s="16"/>
      <c r="AI67" s="16"/>
      <c r="AJ67" s="3"/>
      <c r="AK67" s="3"/>
      <c r="AL67" s="3"/>
      <c r="AM67" s="3"/>
      <c r="AN67" s="3"/>
      <c r="AO67" s="3"/>
      <c r="AP67" s="3"/>
      <c r="AQ67" s="3"/>
      <c r="AR67" s="3"/>
      <c r="BB67" s="4"/>
      <c r="BC67" s="4"/>
      <c r="BD67" s="4"/>
      <c r="BE67" s="4"/>
      <c r="BF67" s="4"/>
      <c r="BG67" s="4"/>
      <c r="BH67" s="4"/>
      <c r="BI67" s="4"/>
      <c r="BU67" s="16"/>
    </row>
    <row r="68" spans="2:73" ht="12" customHeight="1">
      <c r="B68" s="169">
        <v>32</v>
      </c>
      <c r="C68" s="170">
        <v>15</v>
      </c>
      <c r="D68" s="170">
        <v>10</v>
      </c>
      <c r="E68" s="162">
        <f t="shared" si="50"/>
        <v>47908</v>
      </c>
      <c r="F68" s="164">
        <f t="shared" si="49"/>
        <v>366</v>
      </c>
      <c r="H68" s="22">
        <f t="shared" si="53"/>
        <v>4003</v>
      </c>
      <c r="I68" s="166">
        <f t="shared" si="52"/>
        <v>46419</v>
      </c>
      <c r="J68" s="167"/>
      <c r="K68" s="168">
        <f t="shared" si="51"/>
        <v>46446</v>
      </c>
      <c r="X68" s="16"/>
      <c r="Y68" s="16"/>
      <c r="Z68" s="173"/>
      <c r="AA68" s="173"/>
      <c r="AB68" s="173"/>
      <c r="AC68" s="16"/>
      <c r="AD68" s="16"/>
      <c r="AE68" s="16"/>
      <c r="AF68" s="16"/>
      <c r="AG68" s="16"/>
      <c r="AH68" s="16"/>
      <c r="AI68" s="16"/>
      <c r="AJ68" s="3"/>
      <c r="AK68" s="3"/>
      <c r="AL68" s="3"/>
      <c r="AM68" s="3"/>
      <c r="AN68" s="3"/>
      <c r="AO68" s="3"/>
      <c r="AP68" s="3"/>
      <c r="AQ68" s="3"/>
      <c r="AR68" s="3"/>
      <c r="BB68" s="4"/>
      <c r="BC68" s="4"/>
      <c r="BD68" s="4"/>
      <c r="BE68" s="4"/>
      <c r="BF68" s="4"/>
      <c r="BG68" s="4"/>
      <c r="BH68" s="4"/>
      <c r="BI68" s="4"/>
      <c r="BU68" s="16"/>
    </row>
    <row r="69" spans="2:73" ht="12" customHeight="1">
      <c r="B69" s="169">
        <v>33</v>
      </c>
      <c r="C69" s="170">
        <v>15</v>
      </c>
      <c r="D69" s="170">
        <v>10</v>
      </c>
      <c r="E69" s="162">
        <f t="shared" si="50"/>
        <v>48274</v>
      </c>
      <c r="F69" s="163">
        <f t="shared" si="49"/>
        <v>365</v>
      </c>
      <c r="H69" s="22">
        <f t="shared" si="53"/>
        <v>4002</v>
      </c>
      <c r="I69" s="166">
        <f t="shared" si="52"/>
        <v>46784</v>
      </c>
      <c r="J69" s="167"/>
      <c r="K69" s="171">
        <f t="shared" si="51"/>
        <v>46812</v>
      </c>
      <c r="X69" s="16"/>
      <c r="Y69" s="16"/>
      <c r="Z69" s="173"/>
      <c r="AA69" s="173"/>
      <c r="AB69" s="173"/>
      <c r="AC69" s="16"/>
      <c r="AD69" s="16"/>
      <c r="AE69" s="16"/>
      <c r="AF69" s="16"/>
      <c r="AG69" s="16"/>
      <c r="AH69" s="16"/>
      <c r="AI69" s="16"/>
      <c r="AJ69" s="3"/>
      <c r="AK69" s="3"/>
      <c r="AL69" s="3"/>
      <c r="AM69" s="3"/>
      <c r="AN69" s="3"/>
      <c r="AO69" s="3"/>
      <c r="AP69" s="3"/>
      <c r="AQ69" s="3"/>
      <c r="AR69" s="3"/>
      <c r="BB69" s="4"/>
      <c r="BC69" s="4"/>
      <c r="BD69" s="4"/>
      <c r="BE69" s="4"/>
      <c r="BF69" s="4"/>
      <c r="BG69" s="4"/>
      <c r="BH69" s="4"/>
      <c r="BI69" s="4"/>
      <c r="BU69" s="16"/>
    </row>
    <row r="70" spans="2:73" ht="12" customHeight="1">
      <c r="B70" s="169">
        <v>34</v>
      </c>
      <c r="C70" s="170">
        <v>15</v>
      </c>
      <c r="D70" s="170">
        <v>10</v>
      </c>
      <c r="E70" s="162">
        <f t="shared" si="50"/>
        <v>48639</v>
      </c>
      <c r="F70" s="163">
        <f t="shared" si="49"/>
        <v>365</v>
      </c>
      <c r="H70" s="22">
        <f t="shared" si="53"/>
        <v>4001</v>
      </c>
      <c r="I70" s="166">
        <f t="shared" si="52"/>
        <v>47150</v>
      </c>
      <c r="J70" s="167"/>
      <c r="K70" s="168">
        <f t="shared" si="51"/>
        <v>47177</v>
      </c>
      <c r="X70" s="16"/>
      <c r="Y70" s="16"/>
      <c r="Z70" s="173"/>
      <c r="AA70" s="173"/>
      <c r="AB70" s="173"/>
      <c r="AC70" s="16"/>
      <c r="AD70" s="16"/>
      <c r="AE70" s="16"/>
      <c r="AF70" s="16"/>
      <c r="AG70" s="16"/>
      <c r="AH70" s="16"/>
      <c r="AI70" s="16"/>
      <c r="AJ70" s="3"/>
      <c r="AK70" s="3"/>
      <c r="AL70" s="3"/>
      <c r="AM70" s="3"/>
      <c r="AN70" s="3"/>
      <c r="AO70" s="3"/>
      <c r="AP70" s="3"/>
      <c r="AQ70" s="3"/>
      <c r="AR70" s="3"/>
      <c r="BB70" s="4"/>
      <c r="BC70" s="4"/>
      <c r="BD70" s="4"/>
      <c r="BE70" s="4"/>
      <c r="BF70" s="4"/>
      <c r="BG70" s="4"/>
      <c r="BH70" s="4"/>
      <c r="BI70" s="4"/>
      <c r="BU70" s="16"/>
    </row>
    <row r="71" spans="2:73" ht="12" customHeight="1">
      <c r="B71" s="169">
        <v>35</v>
      </c>
      <c r="C71" s="170">
        <v>15</v>
      </c>
      <c r="D71" s="170">
        <v>10</v>
      </c>
      <c r="E71" s="162">
        <f t="shared" si="50"/>
        <v>49004</v>
      </c>
      <c r="F71" s="163">
        <f t="shared" si="49"/>
        <v>365</v>
      </c>
      <c r="H71" s="22">
        <f t="shared" si="53"/>
        <v>4000</v>
      </c>
      <c r="I71" s="166">
        <f t="shared" si="52"/>
        <v>47515</v>
      </c>
      <c r="J71" s="167"/>
      <c r="K71" s="168">
        <f t="shared" si="51"/>
        <v>47542</v>
      </c>
      <c r="X71" s="16"/>
      <c r="Y71" s="16"/>
      <c r="Z71" s="173"/>
      <c r="AA71" s="173"/>
      <c r="AB71" s="173"/>
      <c r="AC71" s="16"/>
      <c r="AD71" s="16"/>
      <c r="AE71" s="16"/>
      <c r="AF71" s="16"/>
      <c r="AG71" s="16"/>
      <c r="AH71" s="16"/>
      <c r="AI71" s="16"/>
      <c r="AJ71" s="3"/>
      <c r="AK71" s="3"/>
      <c r="AL71" s="3"/>
      <c r="AM71" s="3"/>
      <c r="AN71" s="3"/>
      <c r="AO71" s="3"/>
      <c r="AP71" s="3"/>
      <c r="AQ71" s="3"/>
      <c r="AR71" s="3"/>
      <c r="BB71" s="4"/>
      <c r="BC71" s="4"/>
      <c r="BD71" s="4"/>
      <c r="BE71" s="4"/>
      <c r="BF71" s="4"/>
      <c r="BG71" s="4"/>
      <c r="BH71" s="4"/>
      <c r="BI71" s="4"/>
      <c r="BU71" s="16"/>
    </row>
    <row r="72" spans="2:73" ht="12" customHeight="1">
      <c r="B72" s="169">
        <v>36</v>
      </c>
      <c r="C72" s="170">
        <v>15</v>
      </c>
      <c r="D72" s="170">
        <v>10</v>
      </c>
      <c r="E72" s="162">
        <f t="shared" si="50"/>
        <v>49369</v>
      </c>
      <c r="F72" s="164">
        <f t="shared" si="49"/>
        <v>366</v>
      </c>
      <c r="H72" s="22">
        <f t="shared" si="53"/>
        <v>3999</v>
      </c>
      <c r="I72" s="166">
        <f t="shared" si="52"/>
        <v>47880</v>
      </c>
      <c r="J72" s="167"/>
      <c r="K72" s="168">
        <f t="shared" si="51"/>
        <v>47907</v>
      </c>
      <c r="X72" s="16"/>
      <c r="Y72" s="16"/>
      <c r="Z72" s="173"/>
      <c r="AA72" s="173"/>
      <c r="AB72" s="173"/>
      <c r="AC72" s="16"/>
      <c r="AD72" s="16"/>
      <c r="AE72" s="16"/>
      <c r="AF72" s="16"/>
      <c r="AG72" s="16"/>
      <c r="AH72" s="16"/>
      <c r="AI72" s="16"/>
      <c r="AJ72" s="3"/>
      <c r="AK72" s="3"/>
      <c r="AL72" s="3"/>
      <c r="AM72" s="3"/>
      <c r="AN72" s="3"/>
      <c r="AO72" s="3"/>
      <c r="AP72" s="3"/>
      <c r="AQ72" s="3"/>
      <c r="AR72" s="3"/>
      <c r="BB72" s="4"/>
      <c r="BC72" s="4"/>
      <c r="BD72" s="4"/>
      <c r="BE72" s="4"/>
      <c r="BF72" s="4"/>
      <c r="BG72" s="4"/>
      <c r="BH72" s="4"/>
      <c r="BI72" s="4"/>
      <c r="BU72" s="16"/>
    </row>
    <row r="73" spans="2:73" ht="12" customHeight="1">
      <c r="B73" s="169">
        <v>37</v>
      </c>
      <c r="C73" s="170">
        <v>15</v>
      </c>
      <c r="D73" s="170">
        <v>10</v>
      </c>
      <c r="E73" s="174">
        <f t="shared" si="50"/>
        <v>49735</v>
      </c>
      <c r="F73" s="175"/>
      <c r="H73" s="22">
        <f t="shared" si="53"/>
        <v>3998</v>
      </c>
      <c r="I73" s="166">
        <f t="shared" si="52"/>
        <v>48245</v>
      </c>
      <c r="J73" s="167"/>
      <c r="K73" s="171">
        <f t="shared" si="51"/>
        <v>48273</v>
      </c>
      <c r="X73" s="16"/>
      <c r="Y73" s="16"/>
      <c r="Z73" s="173"/>
      <c r="AA73" s="173"/>
      <c r="AB73" s="173"/>
      <c r="AC73" s="16"/>
      <c r="AD73" s="16"/>
      <c r="AE73" s="16"/>
      <c r="AF73" s="16"/>
      <c r="AG73" s="16"/>
      <c r="AH73" s="16"/>
      <c r="AI73" s="16"/>
      <c r="AJ73" s="3"/>
      <c r="AK73" s="3"/>
      <c r="AL73" s="3"/>
      <c r="AM73" s="3"/>
      <c r="AN73" s="3"/>
      <c r="AO73" s="3"/>
      <c r="AP73" s="3"/>
      <c r="AQ73" s="3"/>
      <c r="AR73" s="3"/>
      <c r="BB73" s="4"/>
      <c r="BC73" s="4"/>
      <c r="BD73" s="4"/>
      <c r="BE73" s="4"/>
      <c r="BF73" s="4"/>
      <c r="BG73" s="4"/>
      <c r="BH73" s="4"/>
      <c r="BI73" s="4"/>
      <c r="BU73" s="16"/>
    </row>
    <row r="74" spans="2:73" ht="12" customHeight="1">
      <c r="B74" s="169">
        <v>38</v>
      </c>
      <c r="C74" s="170">
        <v>15</v>
      </c>
      <c r="D74" s="170">
        <v>10</v>
      </c>
      <c r="X74" s="16"/>
      <c r="Y74" s="16"/>
      <c r="Z74" s="173"/>
      <c r="AA74" s="173"/>
      <c r="AB74" s="173"/>
      <c r="AC74" s="16"/>
      <c r="AD74" s="16"/>
      <c r="AE74" s="16"/>
      <c r="AF74" s="16"/>
      <c r="AG74" s="16"/>
      <c r="AH74" s="16"/>
      <c r="AI74" s="16"/>
      <c r="AJ74" s="3"/>
      <c r="AK74" s="3"/>
      <c r="AL74" s="3"/>
      <c r="AM74" s="3"/>
      <c r="AN74" s="3"/>
      <c r="AO74" s="3"/>
      <c r="AP74" s="3"/>
      <c r="AQ74" s="3"/>
      <c r="AR74" s="3"/>
      <c r="BB74" s="4"/>
      <c r="BC74" s="4"/>
      <c r="BD74" s="4"/>
      <c r="BE74" s="4"/>
      <c r="BF74" s="4"/>
      <c r="BG74" s="4"/>
      <c r="BH74" s="4"/>
      <c r="BI74" s="4"/>
      <c r="BU74" s="16"/>
    </row>
    <row r="75" spans="2:73" ht="12" customHeight="1">
      <c r="B75" s="169">
        <v>39</v>
      </c>
      <c r="C75" s="170">
        <v>15</v>
      </c>
      <c r="D75" s="170">
        <v>10</v>
      </c>
      <c r="X75" s="16"/>
      <c r="Y75" s="16"/>
      <c r="Z75" s="173"/>
      <c r="AA75" s="173"/>
      <c r="AB75" s="173"/>
      <c r="AC75" s="16"/>
      <c r="AD75" s="16"/>
      <c r="AE75" s="16"/>
      <c r="AF75" s="16"/>
      <c r="AG75" s="16"/>
      <c r="AH75" s="16"/>
      <c r="AI75" s="16"/>
      <c r="AJ75" s="3"/>
      <c r="AK75" s="3"/>
      <c r="AL75" s="3"/>
      <c r="AM75" s="3"/>
      <c r="AN75" s="3"/>
      <c r="AO75" s="3"/>
      <c r="AP75" s="3"/>
      <c r="AQ75" s="3"/>
      <c r="AR75" s="3"/>
      <c r="BB75" s="4"/>
      <c r="BC75" s="4"/>
      <c r="BD75" s="4"/>
      <c r="BE75" s="4"/>
      <c r="BF75" s="4"/>
      <c r="BG75" s="4"/>
      <c r="BH75" s="4"/>
      <c r="BI75" s="4"/>
      <c r="BU75" s="16"/>
    </row>
    <row r="76" spans="2:73">
      <c r="B76" s="12" t="s">
        <v>137</v>
      </c>
      <c r="C76" s="3"/>
      <c r="D76" s="2" t="s">
        <v>138</v>
      </c>
      <c r="Y76" s="16"/>
      <c r="Z76" s="173"/>
      <c r="AA76" s="173"/>
      <c r="AB76" s="173"/>
      <c r="AC76" s="16"/>
      <c r="AD76" s="16"/>
      <c r="AE76" s="16"/>
      <c r="AF76" s="16"/>
      <c r="AG76" s="16"/>
      <c r="AH76" s="16"/>
      <c r="AJ76" s="3"/>
      <c r="AK76" s="3"/>
    </row>
    <row r="77" spans="2:73">
      <c r="E77" s="167"/>
      <c r="Y77" s="16"/>
      <c r="Z77" s="173"/>
      <c r="AA77" s="173"/>
      <c r="AB77" s="173"/>
      <c r="AC77" s="16"/>
      <c r="AD77" s="16"/>
      <c r="AE77" s="16"/>
      <c r="AF77" s="16"/>
      <c r="AG77" s="16"/>
      <c r="AH77" s="16"/>
      <c r="AJ77" s="3"/>
      <c r="AK77" s="3"/>
    </row>
    <row r="78" spans="2:73" ht="14.25" thickBot="1">
      <c r="Y78" s="16"/>
      <c r="Z78" s="173"/>
      <c r="AA78" s="173"/>
      <c r="AB78" s="173"/>
      <c r="AC78" s="16"/>
      <c r="AD78" s="16"/>
      <c r="AE78" s="16"/>
      <c r="AF78" s="16"/>
      <c r="AG78" s="16"/>
      <c r="AH78" s="16"/>
    </row>
    <row r="79" spans="2:73">
      <c r="C79" s="176">
        <v>32905</v>
      </c>
      <c r="D79" s="177">
        <f>DATE(YEAR(C79),MONTH(C79)+1,0)</f>
        <v>32932</v>
      </c>
      <c r="E79" s="178" t="s">
        <v>135</v>
      </c>
      <c r="F79" s="179"/>
      <c r="Z79" s="173"/>
      <c r="AA79" s="173"/>
      <c r="AB79" s="173"/>
      <c r="AC79" s="16"/>
      <c r="AD79" s="16"/>
      <c r="AE79" s="16"/>
      <c r="AF79" s="16"/>
      <c r="AG79" s="16"/>
      <c r="AH79" s="16"/>
    </row>
    <row r="80" spans="2:73">
      <c r="C80" s="180">
        <f t="shared" ref="C80:C89" si="54">C79+366</f>
        <v>33271</v>
      </c>
      <c r="D80" s="181">
        <f t="shared" ref="D80:D132" si="55">DATE(YEAR(C80),MONTH(C80)+1,0)</f>
        <v>33297</v>
      </c>
      <c r="E80" s="182"/>
      <c r="F80" s="183"/>
      <c r="Z80" s="173"/>
      <c r="AA80" s="173"/>
      <c r="AB80" s="173"/>
      <c r="AC80" s="16"/>
      <c r="AD80" s="16"/>
      <c r="AE80" s="16"/>
      <c r="AF80" s="16"/>
      <c r="AG80" s="16"/>
      <c r="AH80" s="16"/>
    </row>
    <row r="81" spans="3:28">
      <c r="C81" s="180">
        <f t="shared" si="54"/>
        <v>33637</v>
      </c>
      <c r="D81" s="184">
        <f t="shared" si="55"/>
        <v>33663</v>
      </c>
      <c r="E81" s="182"/>
      <c r="F81" s="183"/>
      <c r="Z81" s="173"/>
      <c r="AA81" s="173"/>
      <c r="AB81" s="173"/>
    </row>
    <row r="82" spans="3:28">
      <c r="C82" s="180">
        <f t="shared" si="54"/>
        <v>34003</v>
      </c>
      <c r="D82" s="181">
        <f t="shared" si="55"/>
        <v>34028</v>
      </c>
      <c r="E82" s="182"/>
      <c r="F82" s="183"/>
      <c r="Z82" s="173"/>
      <c r="AA82" s="173"/>
      <c r="AB82" s="173"/>
    </row>
    <row r="83" spans="3:28">
      <c r="C83" s="180">
        <f t="shared" si="54"/>
        <v>34369</v>
      </c>
      <c r="D83" s="181">
        <f t="shared" si="55"/>
        <v>34393</v>
      </c>
      <c r="E83" s="182"/>
      <c r="F83" s="183"/>
      <c r="Z83" s="173"/>
      <c r="AA83" s="173"/>
      <c r="AB83" s="173"/>
    </row>
    <row r="84" spans="3:28">
      <c r="C84" s="180">
        <f t="shared" si="54"/>
        <v>34735</v>
      </c>
      <c r="D84" s="181">
        <f t="shared" si="55"/>
        <v>34758</v>
      </c>
      <c r="E84" s="182"/>
      <c r="F84" s="183"/>
      <c r="Z84" s="173"/>
      <c r="AA84" s="173"/>
      <c r="AB84" s="173"/>
    </row>
    <row r="85" spans="3:28">
      <c r="C85" s="180">
        <f t="shared" si="54"/>
        <v>35101</v>
      </c>
      <c r="D85" s="184">
        <f t="shared" si="55"/>
        <v>35124</v>
      </c>
      <c r="E85" s="182"/>
      <c r="F85" s="183"/>
      <c r="Z85" s="173"/>
      <c r="AA85" s="173"/>
      <c r="AB85" s="173"/>
    </row>
    <row r="86" spans="3:28">
      <c r="C86" s="180">
        <f t="shared" si="54"/>
        <v>35467</v>
      </c>
      <c r="D86" s="181">
        <f t="shared" si="55"/>
        <v>35489</v>
      </c>
      <c r="E86" s="182"/>
      <c r="F86" s="183"/>
      <c r="Z86" s="173"/>
      <c r="AA86" s="173"/>
      <c r="AB86" s="173"/>
    </row>
    <row r="87" spans="3:28">
      <c r="C87" s="180">
        <f t="shared" si="54"/>
        <v>35833</v>
      </c>
      <c r="D87" s="181">
        <f t="shared" si="55"/>
        <v>35854</v>
      </c>
      <c r="E87" s="182"/>
      <c r="F87" s="183"/>
      <c r="Z87" s="173"/>
      <c r="AA87" s="173"/>
      <c r="AB87" s="173"/>
    </row>
    <row r="88" spans="3:28">
      <c r="C88" s="180">
        <f t="shared" si="54"/>
        <v>36199</v>
      </c>
      <c r="D88" s="181">
        <f t="shared" si="55"/>
        <v>36219</v>
      </c>
      <c r="E88" s="182"/>
      <c r="F88" s="183"/>
      <c r="Z88" s="173"/>
      <c r="AA88" s="173"/>
      <c r="AB88" s="173"/>
    </row>
    <row r="89" spans="3:28">
      <c r="C89" s="180">
        <f t="shared" si="54"/>
        <v>36565</v>
      </c>
      <c r="D89" s="184">
        <f t="shared" si="55"/>
        <v>36585</v>
      </c>
      <c r="E89" s="182"/>
      <c r="F89" s="183"/>
      <c r="Z89" s="173"/>
      <c r="AA89" s="173"/>
      <c r="AB89" s="173"/>
    </row>
    <row r="90" spans="3:28">
      <c r="C90" s="180">
        <f>C89+365</f>
        <v>36930</v>
      </c>
      <c r="D90" s="181">
        <f t="shared" si="55"/>
        <v>36950</v>
      </c>
      <c r="E90" s="182"/>
      <c r="F90" s="183"/>
      <c r="Z90" s="173"/>
      <c r="AA90" s="173"/>
      <c r="AB90" s="173"/>
    </row>
    <row r="91" spans="3:28">
      <c r="C91" s="180">
        <f t="shared" ref="C91:C104" si="56">C90+366</f>
        <v>37296</v>
      </c>
      <c r="D91" s="181">
        <f t="shared" si="55"/>
        <v>37315</v>
      </c>
      <c r="E91" s="182"/>
      <c r="F91" s="183"/>
      <c r="Z91" s="173"/>
      <c r="AA91" s="173"/>
      <c r="AB91" s="173"/>
    </row>
    <row r="92" spans="3:28">
      <c r="C92" s="180">
        <f t="shared" si="56"/>
        <v>37662</v>
      </c>
      <c r="D92" s="181">
        <f t="shared" si="55"/>
        <v>37680</v>
      </c>
      <c r="E92" s="182"/>
      <c r="F92" s="183"/>
      <c r="Z92" s="173"/>
      <c r="AA92" s="173"/>
      <c r="AB92" s="173"/>
    </row>
    <row r="93" spans="3:28">
      <c r="C93" s="180">
        <f t="shared" si="56"/>
        <v>38028</v>
      </c>
      <c r="D93" s="184">
        <f t="shared" si="55"/>
        <v>38046</v>
      </c>
      <c r="E93" s="182"/>
      <c r="F93" s="183"/>
      <c r="Z93" s="173"/>
      <c r="AA93" s="173"/>
      <c r="AB93" s="173"/>
    </row>
    <row r="94" spans="3:28">
      <c r="C94" s="180">
        <f t="shared" si="56"/>
        <v>38394</v>
      </c>
      <c r="D94" s="181">
        <f t="shared" si="55"/>
        <v>38411</v>
      </c>
      <c r="E94" s="182"/>
      <c r="F94" s="183"/>
      <c r="Z94" s="173"/>
      <c r="AA94" s="173"/>
      <c r="AB94" s="173"/>
    </row>
    <row r="95" spans="3:28">
      <c r="C95" s="180">
        <f t="shared" si="56"/>
        <v>38760</v>
      </c>
      <c r="D95" s="181">
        <f t="shared" si="55"/>
        <v>38776</v>
      </c>
      <c r="E95" s="182"/>
      <c r="F95" s="183"/>
      <c r="Z95" s="173"/>
      <c r="AA95" s="173"/>
      <c r="AB95" s="173"/>
    </row>
    <row r="96" spans="3:28">
      <c r="C96" s="180">
        <f t="shared" si="56"/>
        <v>39126</v>
      </c>
      <c r="D96" s="181">
        <f t="shared" si="55"/>
        <v>39141</v>
      </c>
      <c r="E96" s="182"/>
      <c r="F96" s="183"/>
      <c r="Z96" s="173"/>
      <c r="AA96" s="173"/>
      <c r="AB96" s="173"/>
    </row>
    <row r="97" spans="3:28">
      <c r="C97" s="180">
        <f t="shared" si="56"/>
        <v>39492</v>
      </c>
      <c r="D97" s="184">
        <f t="shared" si="55"/>
        <v>39507</v>
      </c>
      <c r="E97" s="182"/>
      <c r="F97" s="183"/>
      <c r="Z97" s="173"/>
      <c r="AA97" s="173"/>
      <c r="AB97" s="173"/>
    </row>
    <row r="98" spans="3:28">
      <c r="C98" s="180">
        <f t="shared" si="56"/>
        <v>39858</v>
      </c>
      <c r="D98" s="181">
        <f t="shared" si="55"/>
        <v>39872</v>
      </c>
      <c r="E98" s="182"/>
      <c r="F98" s="183"/>
      <c r="Z98" s="173"/>
      <c r="AA98" s="173"/>
      <c r="AB98" s="173"/>
    </row>
    <row r="99" spans="3:28">
      <c r="C99" s="180">
        <f t="shared" si="56"/>
        <v>40224</v>
      </c>
      <c r="D99" s="181">
        <f t="shared" si="55"/>
        <v>40237</v>
      </c>
      <c r="E99" s="185" t="s">
        <v>139</v>
      </c>
      <c r="F99" s="183"/>
      <c r="Z99" s="173"/>
      <c r="AA99" s="173"/>
      <c r="AB99" s="173"/>
    </row>
    <row r="100" spans="3:28">
      <c r="C100" s="180">
        <f t="shared" si="56"/>
        <v>40590</v>
      </c>
      <c r="D100" s="181">
        <f t="shared" si="55"/>
        <v>40602</v>
      </c>
      <c r="E100" s="186">
        <v>40603</v>
      </c>
      <c r="F100" s="187">
        <v>366</v>
      </c>
      <c r="Z100" s="173"/>
      <c r="AA100" s="173"/>
      <c r="AB100" s="173"/>
    </row>
    <row r="101" spans="3:28">
      <c r="C101" s="180">
        <f t="shared" si="56"/>
        <v>40956</v>
      </c>
      <c r="D101" s="184">
        <f t="shared" si="55"/>
        <v>40968</v>
      </c>
      <c r="E101" s="188">
        <v>40969</v>
      </c>
      <c r="F101" s="189">
        <v>365</v>
      </c>
      <c r="Z101" s="173"/>
      <c r="AA101" s="173"/>
      <c r="AB101" s="173"/>
    </row>
    <row r="102" spans="3:28">
      <c r="C102" s="180">
        <f t="shared" si="56"/>
        <v>41322</v>
      </c>
      <c r="D102" s="181">
        <f t="shared" si="55"/>
        <v>41333</v>
      </c>
      <c r="E102" s="188">
        <v>41334</v>
      </c>
      <c r="F102" s="189">
        <v>365</v>
      </c>
      <c r="Z102" s="173"/>
      <c r="AA102" s="173"/>
      <c r="AB102" s="173"/>
    </row>
    <row r="103" spans="3:28">
      <c r="C103" s="180">
        <f t="shared" si="56"/>
        <v>41688</v>
      </c>
      <c r="D103" s="181">
        <f t="shared" si="55"/>
        <v>41698</v>
      </c>
      <c r="E103" s="188">
        <v>41699</v>
      </c>
      <c r="F103" s="189">
        <v>365</v>
      </c>
      <c r="Z103" s="173"/>
      <c r="AA103" s="173"/>
      <c r="AB103" s="173"/>
    </row>
    <row r="104" spans="3:28">
      <c r="C104" s="180">
        <f t="shared" si="56"/>
        <v>42054</v>
      </c>
      <c r="D104" s="181">
        <f t="shared" si="55"/>
        <v>42063</v>
      </c>
      <c r="E104" s="188">
        <v>42064</v>
      </c>
      <c r="F104" s="187">
        <v>366</v>
      </c>
      <c r="Z104" s="173"/>
      <c r="AA104" s="173"/>
      <c r="AB104" s="173"/>
    </row>
    <row r="105" spans="3:28">
      <c r="C105" s="180">
        <f>C104+365</f>
        <v>42419</v>
      </c>
      <c r="D105" s="184">
        <f t="shared" si="55"/>
        <v>42429</v>
      </c>
      <c r="E105" s="188">
        <v>42430</v>
      </c>
      <c r="F105" s="189">
        <v>365</v>
      </c>
      <c r="Z105" s="173"/>
      <c r="AA105" s="173"/>
      <c r="AB105" s="173"/>
    </row>
    <row r="106" spans="3:28">
      <c r="C106" s="180">
        <f t="shared" ref="C106:C132" si="57">C105+365</f>
        <v>42784</v>
      </c>
      <c r="D106" s="181">
        <f t="shared" si="55"/>
        <v>42794</v>
      </c>
      <c r="E106" s="188">
        <v>42795</v>
      </c>
      <c r="F106" s="189">
        <v>365</v>
      </c>
      <c r="Z106" s="173"/>
      <c r="AA106" s="173"/>
      <c r="AB106" s="173"/>
    </row>
    <row r="107" spans="3:28">
      <c r="C107" s="180">
        <f t="shared" si="57"/>
        <v>43149</v>
      </c>
      <c r="D107" s="181">
        <f t="shared" si="55"/>
        <v>43159</v>
      </c>
      <c r="E107" s="188">
        <v>43160</v>
      </c>
      <c r="F107" s="189">
        <v>365</v>
      </c>
      <c r="Z107" s="173"/>
      <c r="AA107" s="173"/>
      <c r="AB107" s="173"/>
    </row>
    <row r="108" spans="3:28">
      <c r="C108" s="180">
        <f t="shared" si="57"/>
        <v>43514</v>
      </c>
      <c r="D108" s="181">
        <f t="shared" si="55"/>
        <v>43524</v>
      </c>
      <c r="E108" s="188">
        <v>43525</v>
      </c>
      <c r="F108" s="187">
        <v>366</v>
      </c>
      <c r="Z108" s="173"/>
      <c r="AA108" s="173"/>
      <c r="AB108" s="173"/>
    </row>
    <row r="109" spans="3:28">
      <c r="C109" s="180">
        <f t="shared" si="57"/>
        <v>43879</v>
      </c>
      <c r="D109" s="184">
        <f t="shared" si="55"/>
        <v>43890</v>
      </c>
      <c r="E109" s="188">
        <v>43891</v>
      </c>
      <c r="F109" s="189">
        <v>365</v>
      </c>
    </row>
    <row r="110" spans="3:28">
      <c r="C110" s="180">
        <f t="shared" si="57"/>
        <v>44244</v>
      </c>
      <c r="D110" s="181">
        <f t="shared" si="55"/>
        <v>44255</v>
      </c>
      <c r="E110" s="188">
        <v>44256</v>
      </c>
      <c r="F110" s="189">
        <v>365</v>
      </c>
    </row>
    <row r="111" spans="3:28">
      <c r="C111" s="180">
        <f t="shared" si="57"/>
        <v>44609</v>
      </c>
      <c r="D111" s="181">
        <f t="shared" si="55"/>
        <v>44620</v>
      </c>
      <c r="E111" s="188">
        <v>44621</v>
      </c>
      <c r="F111" s="189">
        <v>365</v>
      </c>
    </row>
    <row r="112" spans="3:28">
      <c r="C112" s="180">
        <f t="shared" si="57"/>
        <v>44974</v>
      </c>
      <c r="D112" s="181">
        <f t="shared" si="55"/>
        <v>44985</v>
      </c>
      <c r="E112" s="188">
        <v>44986</v>
      </c>
      <c r="F112" s="187">
        <v>366</v>
      </c>
    </row>
    <row r="113" spans="3:6">
      <c r="C113" s="180">
        <f t="shared" si="57"/>
        <v>45339</v>
      </c>
      <c r="D113" s="184">
        <f t="shared" si="55"/>
        <v>45351</v>
      </c>
      <c r="E113" s="188">
        <v>45352</v>
      </c>
      <c r="F113" s="189">
        <v>365</v>
      </c>
    </row>
    <row r="114" spans="3:6">
      <c r="C114" s="180">
        <f t="shared" si="57"/>
        <v>45704</v>
      </c>
      <c r="D114" s="181">
        <f t="shared" si="55"/>
        <v>45716</v>
      </c>
      <c r="E114" s="188">
        <v>45717</v>
      </c>
      <c r="F114" s="189">
        <v>365</v>
      </c>
    </row>
    <row r="115" spans="3:6">
      <c r="C115" s="180">
        <f t="shared" si="57"/>
        <v>46069</v>
      </c>
      <c r="D115" s="181">
        <f t="shared" si="55"/>
        <v>46081</v>
      </c>
      <c r="E115" s="188">
        <v>46082</v>
      </c>
      <c r="F115" s="189">
        <v>365</v>
      </c>
    </row>
    <row r="116" spans="3:6">
      <c r="C116" s="180">
        <f t="shared" si="57"/>
        <v>46434</v>
      </c>
      <c r="D116" s="181">
        <f t="shared" si="55"/>
        <v>46446</v>
      </c>
      <c r="E116" s="188">
        <v>46447</v>
      </c>
      <c r="F116" s="187">
        <v>366</v>
      </c>
    </row>
    <row r="117" spans="3:6">
      <c r="C117" s="180">
        <f t="shared" si="57"/>
        <v>46799</v>
      </c>
      <c r="D117" s="184">
        <f t="shared" si="55"/>
        <v>46812</v>
      </c>
      <c r="E117" s="188">
        <v>46813</v>
      </c>
      <c r="F117" s="189">
        <v>365</v>
      </c>
    </row>
    <row r="118" spans="3:6">
      <c r="C118" s="180">
        <f t="shared" si="57"/>
        <v>47164</v>
      </c>
      <c r="D118" s="181">
        <f t="shared" si="55"/>
        <v>47177</v>
      </c>
      <c r="E118" s="188">
        <v>47178</v>
      </c>
      <c r="F118" s="189">
        <v>365</v>
      </c>
    </row>
    <row r="119" spans="3:6">
      <c r="C119" s="180">
        <f t="shared" si="57"/>
        <v>47529</v>
      </c>
      <c r="D119" s="181">
        <f t="shared" si="55"/>
        <v>47542</v>
      </c>
      <c r="E119" s="188">
        <v>47543</v>
      </c>
      <c r="F119" s="189">
        <v>365</v>
      </c>
    </row>
    <row r="120" spans="3:6">
      <c r="C120" s="180">
        <f t="shared" si="57"/>
        <v>47894</v>
      </c>
      <c r="D120" s="181">
        <f t="shared" si="55"/>
        <v>47907</v>
      </c>
      <c r="E120" s="188">
        <v>47908</v>
      </c>
      <c r="F120" s="187">
        <v>366</v>
      </c>
    </row>
    <row r="121" spans="3:6">
      <c r="C121" s="180">
        <f t="shared" si="57"/>
        <v>48259</v>
      </c>
      <c r="D121" s="184">
        <f t="shared" si="55"/>
        <v>48273</v>
      </c>
      <c r="E121" s="188">
        <v>48274</v>
      </c>
      <c r="F121" s="189">
        <v>365</v>
      </c>
    </row>
    <row r="122" spans="3:6">
      <c r="C122" s="180">
        <f t="shared" si="57"/>
        <v>48624</v>
      </c>
      <c r="D122" s="181">
        <f t="shared" si="55"/>
        <v>48638</v>
      </c>
      <c r="E122" s="188">
        <v>48639</v>
      </c>
      <c r="F122" s="189">
        <v>365</v>
      </c>
    </row>
    <row r="123" spans="3:6">
      <c r="C123" s="180">
        <f t="shared" si="57"/>
        <v>48989</v>
      </c>
      <c r="D123" s="181">
        <f t="shared" si="55"/>
        <v>49003</v>
      </c>
      <c r="E123" s="188">
        <v>49004</v>
      </c>
      <c r="F123" s="189">
        <v>365</v>
      </c>
    </row>
    <row r="124" spans="3:6">
      <c r="C124" s="180">
        <f t="shared" si="57"/>
        <v>49354</v>
      </c>
      <c r="D124" s="181">
        <f t="shared" si="55"/>
        <v>49368</v>
      </c>
      <c r="E124" s="188">
        <v>49369</v>
      </c>
      <c r="F124" s="187">
        <v>366</v>
      </c>
    </row>
    <row r="125" spans="3:6">
      <c r="C125" s="180">
        <f t="shared" si="57"/>
        <v>49719</v>
      </c>
      <c r="D125" s="184">
        <f t="shared" si="55"/>
        <v>49734</v>
      </c>
      <c r="E125" s="188">
        <v>49735</v>
      </c>
      <c r="F125" s="189"/>
    </row>
    <row r="126" spans="3:6">
      <c r="C126" s="180">
        <f t="shared" si="57"/>
        <v>50084</v>
      </c>
      <c r="D126" s="181">
        <f t="shared" si="55"/>
        <v>50099</v>
      </c>
      <c r="E126" s="182"/>
      <c r="F126" s="183"/>
    </row>
    <row r="127" spans="3:6">
      <c r="C127" s="180">
        <f t="shared" si="57"/>
        <v>50449</v>
      </c>
      <c r="D127" s="181">
        <f t="shared" si="55"/>
        <v>50464</v>
      </c>
      <c r="E127" s="182"/>
      <c r="F127" s="183"/>
    </row>
    <row r="128" spans="3:6">
      <c r="C128" s="180">
        <f t="shared" si="57"/>
        <v>50814</v>
      </c>
      <c r="D128" s="181">
        <f t="shared" si="55"/>
        <v>50829</v>
      </c>
      <c r="E128" s="182"/>
      <c r="F128" s="183"/>
    </row>
    <row r="129" spans="3:6">
      <c r="C129" s="180">
        <f t="shared" si="57"/>
        <v>51179</v>
      </c>
      <c r="D129" s="184">
        <f t="shared" si="55"/>
        <v>51195</v>
      </c>
      <c r="E129" s="182"/>
      <c r="F129" s="183"/>
    </row>
    <row r="130" spans="3:6">
      <c r="C130" s="180">
        <f t="shared" si="57"/>
        <v>51544</v>
      </c>
      <c r="D130" s="181">
        <f t="shared" si="55"/>
        <v>51560</v>
      </c>
      <c r="E130" s="182"/>
      <c r="F130" s="183"/>
    </row>
    <row r="131" spans="3:6">
      <c r="C131" s="180">
        <f t="shared" si="57"/>
        <v>51909</v>
      </c>
      <c r="D131" s="181">
        <f t="shared" si="55"/>
        <v>51925</v>
      </c>
      <c r="E131" s="182"/>
      <c r="F131" s="183"/>
    </row>
    <row r="132" spans="3:6">
      <c r="C132" s="180">
        <f t="shared" si="57"/>
        <v>52274</v>
      </c>
      <c r="D132" s="181">
        <f t="shared" si="55"/>
        <v>52290</v>
      </c>
      <c r="E132" s="182"/>
      <c r="F132" s="183"/>
    </row>
    <row r="133" spans="3:6" ht="14.25" thickBot="1">
      <c r="C133" s="190"/>
      <c r="D133" s="191"/>
      <c r="E133" s="192"/>
      <c r="F133" s="193"/>
    </row>
  </sheetData>
  <mergeCells count="8">
    <mergeCell ref="A1:B1"/>
    <mergeCell ref="BG1:BL1"/>
    <mergeCell ref="BW1:CE1"/>
    <mergeCell ref="K2:M2"/>
    <mergeCell ref="K3:M3"/>
    <mergeCell ref="N3:P3"/>
    <mergeCell ref="Q3:S3"/>
    <mergeCell ref="T3:V3"/>
  </mergeCells>
  <phoneticPr fontId="3" type="noConversion"/>
  <conditionalFormatting sqref="AG4:AG16">
    <cfRule type="expression" dxfId="9" priority="7" stopIfTrue="1">
      <formula>$AF4&lt;&gt;$AG4</formula>
    </cfRule>
  </conditionalFormatting>
  <dataValidations count="2">
    <dataValidation type="textLength" operator="equal" allowBlank="1" showInputMessage="1" showErrorMessage="1" prompt=" - 포함하여 14자리로 입력" sqref="D4:D16">
      <formula1>14</formula1>
    </dataValidation>
    <dataValidation type="date" allowBlank="1" showInputMessage="1" showErrorMessage="1" error="_x000a_날짜서식으로 입력하세요_x000a_2011-12-31" sqref="I4:J16 X4:X17">
      <formula1>1</formula1>
      <formula2>2958465</formula2>
    </dataValidation>
  </dataValidations>
  <pageMargins left="0.74803149606299213" right="0.3" top="0.59055118110236227" bottom="0.35433070866141736" header="0.43307086614173229" footer="0.23622047244094491"/>
  <pageSetup paperSize="9" scale="8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1:AD25"/>
  <sheetViews>
    <sheetView showGridLines="0" showZeros="0" view="pageBreakPreview" zoomScale="85" zoomScaleNormal="100" zoomScaleSheetLayoutView="85" workbookViewId="0">
      <pane xSplit="2" ySplit="4" topLeftCell="C5" activePane="bottomRight" state="frozen"/>
      <selection activeCell="E51" sqref="E51"/>
      <selection pane="topRight" activeCell="E51" sqref="E51"/>
      <selection pane="bottomLeft" activeCell="E51" sqref="E51"/>
      <selection pane="bottomRight" activeCell="C10" sqref="C10"/>
    </sheetView>
  </sheetViews>
  <sheetFormatPr defaultRowHeight="12"/>
  <cols>
    <col min="1" max="1" width="4" style="4" customWidth="1"/>
    <col min="2" max="2" width="8.5546875" style="4" customWidth="1"/>
    <col min="3" max="3" width="12.77734375" style="4" customWidth="1"/>
    <col min="4" max="4" width="9.33203125" style="4" customWidth="1"/>
    <col min="5" max="5" width="9.109375" style="4" customWidth="1"/>
    <col min="6" max="6" width="7.77734375" style="4" customWidth="1"/>
    <col min="7" max="7" width="7.88671875" style="16" customWidth="1"/>
    <col min="8" max="8" width="6.88671875" style="16" customWidth="1"/>
    <col min="9" max="9" width="7" style="16" customWidth="1"/>
    <col min="10" max="11" width="6.88671875" style="16" customWidth="1"/>
    <col min="12" max="12" width="7.33203125" style="16" customWidth="1"/>
    <col min="13" max="13" width="7.5546875" style="16" customWidth="1"/>
    <col min="14" max="14" width="8.88671875" style="16" customWidth="1"/>
    <col min="15" max="15" width="10.5546875" style="16" customWidth="1"/>
    <col min="16" max="16" width="6" style="16" customWidth="1"/>
    <col min="17" max="17" width="5.5546875" style="16" customWidth="1"/>
    <col min="18" max="20" width="7" style="16" customWidth="1"/>
    <col min="21" max="21" width="6.44140625" style="4" customWidth="1"/>
    <col min="22" max="23" width="7.109375" style="4" customWidth="1"/>
    <col min="24" max="25" width="6.33203125" style="4" customWidth="1"/>
    <col min="26" max="26" width="6.88671875" style="4" customWidth="1"/>
    <col min="27" max="27" width="8.44140625" style="4" customWidth="1"/>
    <col min="28" max="28" width="8.77734375" style="4" customWidth="1"/>
    <col min="29" max="16384" width="8.88671875" style="3"/>
  </cols>
  <sheetData>
    <row r="1" spans="1:30" ht="38.25" customHeight="1">
      <c r="A1" s="246" t="str">
        <f>TEXT(입력!C2,"yyyy년 m월분")&amp;" 교육공무직 임금내역"</f>
        <v>2021년 11월분 교육공무직 임금내역</v>
      </c>
      <c r="B1" s="3"/>
      <c r="C1" s="3"/>
      <c r="D1" s="3"/>
      <c r="E1" s="3"/>
      <c r="F1" s="3"/>
      <c r="G1" s="3"/>
      <c r="H1" s="3"/>
      <c r="I1" s="3"/>
      <c r="J1" s="3"/>
      <c r="K1" s="3"/>
      <c r="L1" s="247"/>
      <c r="M1" s="3"/>
      <c r="N1" s="3"/>
      <c r="P1" s="3"/>
      <c r="Q1" s="3"/>
      <c r="R1" s="3"/>
      <c r="S1" s="3"/>
      <c r="T1" s="3"/>
      <c r="U1" s="3"/>
      <c r="V1" s="3"/>
      <c r="W1" s="3"/>
      <c r="X1" s="3"/>
      <c r="Y1" s="3"/>
      <c r="Z1" s="3"/>
      <c r="AA1" s="3"/>
      <c r="AB1" s="3"/>
    </row>
    <row r="2" spans="1:30" ht="25.5" customHeight="1" thickBot="1">
      <c r="B2" s="12"/>
      <c r="C2" s="12"/>
      <c r="D2" s="12"/>
      <c r="E2" s="12"/>
      <c r="F2" s="12"/>
      <c r="G2" s="12"/>
      <c r="H2" s="12"/>
      <c r="I2" s="12"/>
      <c r="J2" s="12"/>
      <c r="K2" s="12"/>
      <c r="L2" s="12"/>
      <c r="M2" s="12"/>
      <c r="N2" s="12"/>
      <c r="O2" s="12"/>
      <c r="P2" s="12"/>
      <c r="Q2" s="12"/>
      <c r="R2" s="12"/>
      <c r="S2" s="12"/>
      <c r="T2" s="12"/>
      <c r="U2" s="12"/>
      <c r="V2" s="12"/>
      <c r="W2" s="12"/>
      <c r="X2" s="12"/>
      <c r="Y2" s="12"/>
      <c r="Z2" s="12"/>
      <c r="AB2" s="248" t="str">
        <f>학교명</f>
        <v>남산초등학교</v>
      </c>
    </row>
    <row r="3" spans="1:30" ht="27.95" customHeight="1">
      <c r="A3" s="585" t="s">
        <v>179</v>
      </c>
      <c r="B3" s="587" t="s">
        <v>180</v>
      </c>
      <c r="C3" s="587" t="s">
        <v>181</v>
      </c>
      <c r="D3" s="587" t="s">
        <v>182</v>
      </c>
      <c r="E3" s="575" t="s">
        <v>183</v>
      </c>
      <c r="F3" s="583" t="s">
        <v>184</v>
      </c>
      <c r="G3" s="583" t="s">
        <v>185</v>
      </c>
      <c r="H3" s="249" t="s">
        <v>186</v>
      </c>
      <c r="I3" s="249" t="s">
        <v>187</v>
      </c>
      <c r="J3" s="249" t="s">
        <v>188</v>
      </c>
      <c r="K3" s="249" t="s">
        <v>408</v>
      </c>
      <c r="L3" s="249" t="s">
        <v>409</v>
      </c>
      <c r="M3" s="249" t="s">
        <v>189</v>
      </c>
      <c r="N3" s="575" t="s">
        <v>190</v>
      </c>
      <c r="O3" s="593" t="s">
        <v>191</v>
      </c>
      <c r="P3" s="595" t="s">
        <v>192</v>
      </c>
      <c r="Q3" s="583" t="s">
        <v>410</v>
      </c>
      <c r="R3" s="589" t="s">
        <v>193</v>
      </c>
      <c r="S3" s="589" t="s">
        <v>194</v>
      </c>
      <c r="T3" s="591" t="s">
        <v>411</v>
      </c>
      <c r="U3" s="591" t="s">
        <v>412</v>
      </c>
      <c r="V3" s="581" t="s">
        <v>413</v>
      </c>
      <c r="W3" s="581" t="s">
        <v>414</v>
      </c>
      <c r="X3" s="581" t="s">
        <v>415</v>
      </c>
      <c r="Y3" s="581" t="s">
        <v>195</v>
      </c>
      <c r="Z3" s="581" t="s">
        <v>270</v>
      </c>
      <c r="AA3" s="575" t="s">
        <v>196</v>
      </c>
      <c r="AB3" s="577" t="s">
        <v>197</v>
      </c>
    </row>
    <row r="4" spans="1:30" ht="27.95" customHeight="1">
      <c r="A4" s="586"/>
      <c r="B4" s="588"/>
      <c r="C4" s="588"/>
      <c r="D4" s="588"/>
      <c r="E4" s="576"/>
      <c r="F4" s="584"/>
      <c r="G4" s="584"/>
      <c r="H4" s="250" t="s">
        <v>198</v>
      </c>
      <c r="I4" s="250" t="s">
        <v>187</v>
      </c>
      <c r="J4" s="250" t="s">
        <v>199</v>
      </c>
      <c r="K4" s="250" t="s">
        <v>262</v>
      </c>
      <c r="L4" s="250" t="s">
        <v>200</v>
      </c>
      <c r="M4" s="250" t="s">
        <v>201</v>
      </c>
      <c r="N4" s="576"/>
      <c r="O4" s="594"/>
      <c r="P4" s="596"/>
      <c r="Q4" s="596"/>
      <c r="R4" s="590"/>
      <c r="S4" s="590"/>
      <c r="T4" s="592"/>
      <c r="U4" s="592"/>
      <c r="V4" s="582"/>
      <c r="W4" s="582"/>
      <c r="X4" s="582"/>
      <c r="Y4" s="582"/>
      <c r="Z4" s="582"/>
      <c r="AA4" s="576"/>
      <c r="AB4" s="578"/>
      <c r="AC4" s="3" t="s">
        <v>423</v>
      </c>
    </row>
    <row r="5" spans="1:30" s="2" customFormat="1" ht="21.95" customHeight="1">
      <c r="A5" s="68">
        <f>ROW()-4</f>
        <v>1</v>
      </c>
      <c r="B5" s="69" t="str">
        <f>입력!B4</f>
        <v>행정실1</v>
      </c>
      <c r="C5" s="111" t="str">
        <f ca="1">IF($B5="",0,INDEX(INDIRECT(C$3),MATCH($B5,명부,0)))</f>
        <v>특수운영직군(청소원)</v>
      </c>
      <c r="D5" s="74">
        <f t="shared" ref="C5:D18" ca="1" si="0">IF($B5="",0,INDEX(INDIRECT(D$3),MATCH($B5,명부,0)))</f>
        <v>43374</v>
      </c>
      <c r="E5" s="251">
        <f t="shared" ref="E5:M18" ca="1" si="1">IF(OR($B5="",E$3=""),0,INDEX(INDIRECT(E$3),MATCH($B5,명부,0)))</f>
        <v>1265000</v>
      </c>
      <c r="F5" s="252">
        <f t="shared" ca="1" si="1"/>
        <v>0</v>
      </c>
      <c r="G5" s="252">
        <f t="shared" ca="1" si="1"/>
        <v>0</v>
      </c>
      <c r="H5" s="252">
        <f ca="1">IF(OR($B5="",H$3=""),0,INDEX(INDIRECT(H$3),MATCH($B5,명부,0)))</f>
        <v>0</v>
      </c>
      <c r="I5" s="252">
        <f t="shared" ca="1" si="1"/>
        <v>0</v>
      </c>
      <c r="J5" s="252">
        <f t="shared" ca="1" si="1"/>
        <v>0</v>
      </c>
      <c r="K5" s="252">
        <f t="shared" ca="1" si="1"/>
        <v>0</v>
      </c>
      <c r="L5" s="252">
        <f t="shared" ref="L5:M10" ca="1" si="2">IF(OR($B5="",L$3=""),0,INDEX(INDIRECT(L$3),MATCH($B5,명부,0)))</f>
        <v>140000</v>
      </c>
      <c r="M5" s="252">
        <f t="shared" ca="1" si="2"/>
        <v>0</v>
      </c>
      <c r="N5" s="251">
        <f t="shared" ref="N5:N14" ca="1" si="3">SUM(F5:M5)</f>
        <v>140000</v>
      </c>
      <c r="O5" s="253">
        <f ca="1">E5+N5</f>
        <v>1405000</v>
      </c>
      <c r="P5" s="252">
        <f t="shared" ref="P5:Z18" ca="1" si="4">IF(OR($B5="",P$3=""),0,INDEX(INDIRECT(P$3),MATCH($B5,명부,0)))</f>
        <v>0</v>
      </c>
      <c r="Q5" s="252">
        <f t="shared" ca="1" si="4"/>
        <v>0</v>
      </c>
      <c r="R5" s="252">
        <f t="shared" ca="1" si="4"/>
        <v>0</v>
      </c>
      <c r="S5" s="252">
        <f t="shared" ca="1" si="4"/>
        <v>47390</v>
      </c>
      <c r="T5" s="252">
        <f t="shared" ca="1" si="4"/>
        <v>5450</v>
      </c>
      <c r="U5" s="252">
        <f t="shared" ca="1" si="4"/>
        <v>0</v>
      </c>
      <c r="V5" s="252">
        <f t="shared" ca="1" si="4"/>
        <v>11050</v>
      </c>
      <c r="W5" s="252">
        <f t="shared" ca="1" si="4"/>
        <v>0</v>
      </c>
      <c r="X5" s="252">
        <f t="shared" ca="1" si="4"/>
        <v>0</v>
      </c>
      <c r="Y5" s="252">
        <f t="shared" ca="1" si="4"/>
        <v>0</v>
      </c>
      <c r="Z5" s="252">
        <f t="shared" ca="1" si="4"/>
        <v>0</v>
      </c>
      <c r="AA5" s="251">
        <f t="shared" ref="AA5:AA14" ca="1" si="5">SUM(P5:Z5)</f>
        <v>63890</v>
      </c>
      <c r="AB5" s="254">
        <f ca="1">IF($B5="",0,IF((O5-AA5)=INDEX(INDIRECT(AB$3),MATCH($B5,명부,0)),O5-AA5))</f>
        <v>1341110</v>
      </c>
      <c r="AC5" s="370">
        <f ca="1">E5-AA5</f>
        <v>1201110</v>
      </c>
      <c r="AD5" s="370"/>
    </row>
    <row r="6" spans="1:30" s="2" customFormat="1" ht="21.95" customHeight="1">
      <c r="A6" s="68">
        <f t="shared" ref="A6:A18" si="6">ROW()-4</f>
        <v>2</v>
      </c>
      <c r="B6" s="69" t="str">
        <f>입력!B5</f>
        <v>행정실2</v>
      </c>
      <c r="C6" s="111" t="str">
        <f t="shared" ca="1" si="0"/>
        <v>돌봄전담사</v>
      </c>
      <c r="D6" s="74">
        <f t="shared" ca="1" si="0"/>
        <v>41701</v>
      </c>
      <c r="E6" s="251">
        <f t="shared" ca="1" si="1"/>
        <v>920000</v>
      </c>
      <c r="F6" s="252">
        <f t="shared" ca="1" si="1"/>
        <v>52500</v>
      </c>
      <c r="G6" s="252">
        <f t="shared" ca="1" si="1"/>
        <v>0</v>
      </c>
      <c r="H6" s="252">
        <f t="shared" ca="1" si="1"/>
        <v>0</v>
      </c>
      <c r="I6" s="252">
        <f t="shared" ca="1" si="1"/>
        <v>30000</v>
      </c>
      <c r="J6" s="252">
        <f t="shared" ca="1" si="1"/>
        <v>0</v>
      </c>
      <c r="K6" s="252">
        <f t="shared" ca="1" si="1"/>
        <v>0</v>
      </c>
      <c r="L6" s="252">
        <f t="shared" ca="1" si="2"/>
        <v>140000</v>
      </c>
      <c r="M6" s="252">
        <f t="shared" ca="1" si="2"/>
        <v>0</v>
      </c>
      <c r="N6" s="251">
        <f t="shared" ca="1" si="3"/>
        <v>222500</v>
      </c>
      <c r="O6" s="253">
        <f t="shared" ref="O6:O14" ca="1" si="7">E6+N6</f>
        <v>1142500</v>
      </c>
      <c r="P6" s="252">
        <f t="shared" ca="1" si="4"/>
        <v>0</v>
      </c>
      <c r="Q6" s="252">
        <f t="shared" ca="1" si="4"/>
        <v>0</v>
      </c>
      <c r="R6" s="252">
        <f t="shared" ca="1" si="4"/>
        <v>49540</v>
      </c>
      <c r="S6" s="252">
        <f t="shared" ca="1" si="4"/>
        <v>38410</v>
      </c>
      <c r="T6" s="252">
        <f t="shared" ca="1" si="4"/>
        <v>4420</v>
      </c>
      <c r="U6" s="252">
        <f t="shared" ca="1" si="4"/>
        <v>0</v>
      </c>
      <c r="V6" s="252">
        <f t="shared" ca="1" si="4"/>
        <v>8950</v>
      </c>
      <c r="W6" s="252">
        <f t="shared" ca="1" si="4"/>
        <v>0</v>
      </c>
      <c r="X6" s="252">
        <f t="shared" ca="1" si="4"/>
        <v>0</v>
      </c>
      <c r="Y6" s="252">
        <f t="shared" ca="1" si="4"/>
        <v>0</v>
      </c>
      <c r="Z6" s="252">
        <f t="shared" ca="1" si="4"/>
        <v>0</v>
      </c>
      <c r="AA6" s="251">
        <f t="shared" ca="1" si="5"/>
        <v>101320</v>
      </c>
      <c r="AB6" s="254">
        <f t="shared" ref="AB6:AB17" ca="1" si="8">IF($B6="",0,IF((O6-AA6)=INDEX(INDIRECT(AB$3),MATCH($B6,명부,0)),O6-AA6))</f>
        <v>1041180</v>
      </c>
      <c r="AC6" s="370">
        <f t="shared" ref="AC6:AC13" ca="1" si="9">E6-AA6</f>
        <v>818680</v>
      </c>
    </row>
    <row r="7" spans="1:30" s="2" customFormat="1" ht="21.95" customHeight="1">
      <c r="A7" s="68">
        <f t="shared" si="6"/>
        <v>3</v>
      </c>
      <c r="B7" s="69" t="str">
        <f>입력!B6</f>
        <v>행정실3</v>
      </c>
      <c r="C7" s="111" t="str">
        <f t="shared" ca="1" si="0"/>
        <v>돌봄전담사</v>
      </c>
      <c r="D7" s="74">
        <f t="shared" ca="1" si="0"/>
        <v>40970</v>
      </c>
      <c r="E7" s="251">
        <f t="shared" ca="1" si="1"/>
        <v>1150000</v>
      </c>
      <c r="F7" s="252">
        <f t="shared" ca="1" si="1"/>
        <v>262500</v>
      </c>
      <c r="G7" s="252">
        <f t="shared" ca="1" si="1"/>
        <v>0</v>
      </c>
      <c r="H7" s="252">
        <f t="shared" ca="1" si="1"/>
        <v>0</v>
      </c>
      <c r="I7" s="252">
        <f t="shared" ca="1" si="1"/>
        <v>37500</v>
      </c>
      <c r="J7" s="252">
        <f t="shared" ca="1" si="1"/>
        <v>0</v>
      </c>
      <c r="K7" s="252">
        <f t="shared" ca="1" si="1"/>
        <v>0</v>
      </c>
      <c r="L7" s="252">
        <f t="shared" ca="1" si="2"/>
        <v>140000</v>
      </c>
      <c r="M7" s="252">
        <f t="shared" ca="1" si="2"/>
        <v>0</v>
      </c>
      <c r="N7" s="251">
        <f t="shared" ca="1" si="3"/>
        <v>440000</v>
      </c>
      <c r="O7" s="253">
        <f t="shared" ca="1" si="7"/>
        <v>1590000</v>
      </c>
      <c r="P7" s="252">
        <f t="shared" ca="1" si="4"/>
        <v>0</v>
      </c>
      <c r="Q7" s="252">
        <f t="shared" ca="1" si="4"/>
        <v>0</v>
      </c>
      <c r="R7" s="252">
        <f t="shared" ca="1" si="4"/>
        <v>69790</v>
      </c>
      <c r="S7" s="252">
        <f t="shared" ca="1" si="4"/>
        <v>54100</v>
      </c>
      <c r="T7" s="252">
        <f t="shared" ca="1" si="4"/>
        <v>6230</v>
      </c>
      <c r="U7" s="252">
        <f t="shared" ca="1" si="4"/>
        <v>0</v>
      </c>
      <c r="V7" s="252">
        <f t="shared" ca="1" si="4"/>
        <v>12610</v>
      </c>
      <c r="W7" s="252">
        <f t="shared" ca="1" si="4"/>
        <v>0</v>
      </c>
      <c r="X7" s="252">
        <f t="shared" ca="1" si="4"/>
        <v>0</v>
      </c>
      <c r="Y7" s="252">
        <f t="shared" ca="1" si="4"/>
        <v>0</v>
      </c>
      <c r="Z7" s="252">
        <f t="shared" ca="1" si="4"/>
        <v>0</v>
      </c>
      <c r="AA7" s="251">
        <f t="shared" ca="1" si="5"/>
        <v>142730</v>
      </c>
      <c r="AB7" s="254">
        <f t="shared" ca="1" si="8"/>
        <v>1447270</v>
      </c>
      <c r="AC7" s="370">
        <f ca="1">E7-AA7</f>
        <v>1007270</v>
      </c>
    </row>
    <row r="8" spans="1:30" s="2" customFormat="1" ht="21.95" customHeight="1">
      <c r="A8" s="68">
        <f t="shared" si="6"/>
        <v>4</v>
      </c>
      <c r="B8" s="69" t="str">
        <f>입력!B7</f>
        <v>행정실4</v>
      </c>
      <c r="C8" s="111" t="str">
        <f t="shared" ca="1" si="0"/>
        <v>조리원</v>
      </c>
      <c r="D8" s="74">
        <f t="shared" ca="1" si="0"/>
        <v>36564</v>
      </c>
      <c r="E8" s="251">
        <f t="shared" ca="1" si="1"/>
        <v>1840000</v>
      </c>
      <c r="F8" s="252">
        <f t="shared" ca="1" si="1"/>
        <v>700000</v>
      </c>
      <c r="G8" s="252">
        <f t="shared" ca="1" si="1"/>
        <v>0</v>
      </c>
      <c r="H8" s="252">
        <f t="shared" ca="1" si="1"/>
        <v>0</v>
      </c>
      <c r="I8" s="252">
        <f t="shared" ca="1" si="1"/>
        <v>40000</v>
      </c>
      <c r="J8" s="252">
        <f t="shared" ca="1" si="1"/>
        <v>0</v>
      </c>
      <c r="K8" s="252">
        <f t="shared" ca="1" si="1"/>
        <v>50000</v>
      </c>
      <c r="L8" s="252">
        <f t="shared" ca="1" si="2"/>
        <v>140000</v>
      </c>
      <c r="M8" s="252">
        <f t="shared" ca="1" si="2"/>
        <v>0</v>
      </c>
      <c r="N8" s="251">
        <f ca="1">SUM(F8:M8)</f>
        <v>930000</v>
      </c>
      <c r="O8" s="253">
        <f ca="1">E8+N8</f>
        <v>2770000</v>
      </c>
      <c r="P8" s="252">
        <f t="shared" ca="1" si="4"/>
        <v>0</v>
      </c>
      <c r="Q8" s="252">
        <f t="shared" ca="1" si="4"/>
        <v>0</v>
      </c>
      <c r="R8" s="252">
        <f t="shared" ca="1" si="4"/>
        <v>106330</v>
      </c>
      <c r="S8" s="252">
        <f t="shared" ca="1" si="4"/>
        <v>82420</v>
      </c>
      <c r="T8" s="252">
        <f t="shared" ca="1" si="4"/>
        <v>9490</v>
      </c>
      <c r="U8" s="252">
        <f t="shared" ca="1" si="4"/>
        <v>0</v>
      </c>
      <c r="V8" s="252">
        <f t="shared" ca="1" si="4"/>
        <v>19050</v>
      </c>
      <c r="W8" s="252">
        <f t="shared" ca="1" si="4"/>
        <v>0</v>
      </c>
      <c r="X8" s="252">
        <f t="shared" ca="1" si="4"/>
        <v>0</v>
      </c>
      <c r="Y8" s="252">
        <f t="shared" ca="1" si="4"/>
        <v>900000</v>
      </c>
      <c r="Z8" s="252">
        <f t="shared" ca="1" si="4"/>
        <v>0</v>
      </c>
      <c r="AA8" s="251">
        <f ca="1">SUM(P8:Z8)</f>
        <v>1117290</v>
      </c>
      <c r="AB8" s="254">
        <f t="shared" ca="1" si="8"/>
        <v>1652710</v>
      </c>
      <c r="AC8" s="370">
        <f ca="1">E8-AA8+Y8</f>
        <v>1622710</v>
      </c>
    </row>
    <row r="9" spans="1:30" s="2" customFormat="1" ht="21.95" customHeight="1">
      <c r="A9" s="68">
        <f t="shared" si="6"/>
        <v>5</v>
      </c>
      <c r="B9" s="69" t="str">
        <f>입력!B8</f>
        <v>행정실5</v>
      </c>
      <c r="C9" s="111" t="str">
        <f t="shared" ca="1" si="0"/>
        <v>조리원</v>
      </c>
      <c r="D9" s="74">
        <f t="shared" ca="1" si="0"/>
        <v>38777</v>
      </c>
      <c r="E9" s="251">
        <f t="shared" ca="1" si="1"/>
        <v>1840000</v>
      </c>
      <c r="F9" s="252">
        <f t="shared" ca="1" si="1"/>
        <v>630000</v>
      </c>
      <c r="G9" s="252">
        <f t="shared" ca="1" si="1"/>
        <v>0</v>
      </c>
      <c r="H9" s="252">
        <f t="shared" ca="1" si="1"/>
        <v>0</v>
      </c>
      <c r="I9" s="252">
        <f t="shared" ca="1" si="1"/>
        <v>40000</v>
      </c>
      <c r="J9" s="252">
        <f t="shared" ca="1" si="1"/>
        <v>0</v>
      </c>
      <c r="K9" s="252">
        <f t="shared" ca="1" si="1"/>
        <v>50000</v>
      </c>
      <c r="L9" s="252">
        <f t="shared" ca="1" si="2"/>
        <v>140000</v>
      </c>
      <c r="M9" s="252">
        <f t="shared" ca="1" si="2"/>
        <v>0</v>
      </c>
      <c r="N9" s="251">
        <f t="shared" ca="1" si="3"/>
        <v>860000</v>
      </c>
      <c r="O9" s="253">
        <f t="shared" ca="1" si="7"/>
        <v>2700000</v>
      </c>
      <c r="P9" s="252">
        <f t="shared" ca="1" si="4"/>
        <v>0</v>
      </c>
      <c r="Q9" s="252">
        <f t="shared" ca="1" si="4"/>
        <v>0</v>
      </c>
      <c r="R9" s="252">
        <f t="shared" ca="1" si="4"/>
        <v>108850</v>
      </c>
      <c r="S9" s="252">
        <f t="shared" ca="1" si="4"/>
        <v>84380</v>
      </c>
      <c r="T9" s="252">
        <f t="shared" ca="1" si="4"/>
        <v>9720</v>
      </c>
      <c r="U9" s="252">
        <f t="shared" ca="1" si="4"/>
        <v>0</v>
      </c>
      <c r="V9" s="252">
        <f t="shared" ca="1" si="4"/>
        <v>19680</v>
      </c>
      <c r="W9" s="252">
        <f t="shared" ca="1" si="4"/>
        <v>0</v>
      </c>
      <c r="X9" s="252">
        <f t="shared" ca="1" si="4"/>
        <v>0</v>
      </c>
      <c r="Y9" s="252">
        <f t="shared" ca="1" si="4"/>
        <v>900000</v>
      </c>
      <c r="Z9" s="252">
        <f t="shared" ca="1" si="4"/>
        <v>0</v>
      </c>
      <c r="AA9" s="251">
        <f t="shared" ca="1" si="5"/>
        <v>1122630</v>
      </c>
      <c r="AB9" s="254">
        <f t="shared" ca="1" si="8"/>
        <v>1577370</v>
      </c>
      <c r="AC9" s="370">
        <f ca="1">E9-AA9+Y9</f>
        <v>1617370</v>
      </c>
    </row>
    <row r="10" spans="1:30" s="2" customFormat="1" ht="21.95" customHeight="1">
      <c r="A10" s="68">
        <f t="shared" si="6"/>
        <v>6</v>
      </c>
      <c r="B10" s="69" t="str">
        <f>입력!B9</f>
        <v>행정실6</v>
      </c>
      <c r="C10" s="111" t="str">
        <f t="shared" ca="1" si="0"/>
        <v>조리원</v>
      </c>
      <c r="D10" s="74">
        <f t="shared" ca="1" si="0"/>
        <v>38022</v>
      </c>
      <c r="E10" s="251">
        <f t="shared" ca="1" si="1"/>
        <v>1840000</v>
      </c>
      <c r="F10" s="252">
        <f ca="1">IF(OR($B10="",F$3=""),0,INDEX(INDIRECT(F$3),MATCH($B10,명부,0)))</f>
        <v>700000</v>
      </c>
      <c r="G10" s="252">
        <f t="shared" ca="1" si="1"/>
        <v>0</v>
      </c>
      <c r="H10" s="252">
        <f t="shared" ca="1" si="1"/>
        <v>0</v>
      </c>
      <c r="I10" s="252">
        <f t="shared" ca="1" si="1"/>
        <v>0</v>
      </c>
      <c r="J10" s="252">
        <f t="shared" ca="1" si="1"/>
        <v>0</v>
      </c>
      <c r="K10" s="252">
        <f t="shared" ca="1" si="1"/>
        <v>50000</v>
      </c>
      <c r="L10" s="252">
        <f t="shared" ca="1" si="2"/>
        <v>140000</v>
      </c>
      <c r="M10" s="252">
        <f t="shared" ca="1" si="2"/>
        <v>0</v>
      </c>
      <c r="N10" s="251">
        <f t="shared" ca="1" si="3"/>
        <v>890000</v>
      </c>
      <c r="O10" s="253">
        <f t="shared" ca="1" si="7"/>
        <v>2730000</v>
      </c>
      <c r="P10" s="252">
        <f t="shared" ca="1" si="4"/>
        <v>0</v>
      </c>
      <c r="Q10" s="252">
        <f t="shared" ca="1" si="4"/>
        <v>0</v>
      </c>
      <c r="R10" s="252">
        <f t="shared" ca="1" si="4"/>
        <v>112500</v>
      </c>
      <c r="S10" s="252">
        <f t="shared" ca="1" si="4"/>
        <v>87190</v>
      </c>
      <c r="T10" s="252">
        <f t="shared" ca="1" si="4"/>
        <v>10040</v>
      </c>
      <c r="U10" s="252">
        <f t="shared" ca="1" si="4"/>
        <v>0</v>
      </c>
      <c r="V10" s="252">
        <f t="shared" ca="1" si="4"/>
        <v>20330</v>
      </c>
      <c r="W10" s="252">
        <f t="shared" ca="1" si="4"/>
        <v>0</v>
      </c>
      <c r="X10" s="252">
        <f t="shared" ca="1" si="4"/>
        <v>0</v>
      </c>
      <c r="Y10" s="252">
        <f t="shared" ca="1" si="4"/>
        <v>600000</v>
      </c>
      <c r="Z10" s="252">
        <f t="shared" ca="1" si="4"/>
        <v>0</v>
      </c>
      <c r="AA10" s="251">
        <f t="shared" ca="1" si="5"/>
        <v>830060</v>
      </c>
      <c r="AB10" s="254">
        <f t="shared" ca="1" si="8"/>
        <v>1899940</v>
      </c>
      <c r="AC10" s="370">
        <f ca="1">E10-AA10+Y10</f>
        <v>1609940</v>
      </c>
    </row>
    <row r="11" spans="1:30" s="2" customFormat="1" ht="21.95" customHeight="1">
      <c r="A11" s="68">
        <f t="shared" si="6"/>
        <v>7</v>
      </c>
      <c r="B11" s="69" t="str">
        <f>입력!B10</f>
        <v>행정실7</v>
      </c>
      <c r="C11" s="111" t="str">
        <f t="shared" ca="1" si="0"/>
        <v>조리원</v>
      </c>
      <c r="D11" s="74">
        <f t="shared" ca="1" si="0"/>
        <v>38018</v>
      </c>
      <c r="E11" s="251">
        <f t="shared" ca="1" si="1"/>
        <v>1840000</v>
      </c>
      <c r="F11" s="252">
        <f t="shared" ca="1" si="1"/>
        <v>700000</v>
      </c>
      <c r="G11" s="252">
        <f t="shared" ca="1" si="1"/>
        <v>0</v>
      </c>
      <c r="H11" s="252">
        <f t="shared" ca="1" si="1"/>
        <v>0</v>
      </c>
      <c r="I11" s="252">
        <f t="shared" ca="1" si="1"/>
        <v>40000</v>
      </c>
      <c r="J11" s="252">
        <f t="shared" ca="1" si="1"/>
        <v>0</v>
      </c>
      <c r="K11" s="252">
        <f t="shared" ca="1" si="1"/>
        <v>50000</v>
      </c>
      <c r="L11" s="252">
        <f ca="1">IF(OR($B11="",L$3=""),0,INDEX(INDIRECT(L$3),MATCH($B11,명부,0)))</f>
        <v>140000</v>
      </c>
      <c r="M11" s="252">
        <f t="shared" ca="1" si="1"/>
        <v>0</v>
      </c>
      <c r="N11" s="251">
        <f t="shared" ca="1" si="3"/>
        <v>930000</v>
      </c>
      <c r="O11" s="253">
        <f t="shared" ca="1" si="7"/>
        <v>2770000</v>
      </c>
      <c r="P11" s="252">
        <f t="shared" ca="1" si="4"/>
        <v>0</v>
      </c>
      <c r="Q11" s="252">
        <f t="shared" ca="1" si="4"/>
        <v>0</v>
      </c>
      <c r="R11" s="252">
        <f t="shared" ca="1" si="4"/>
        <v>109390</v>
      </c>
      <c r="S11" s="252">
        <f t="shared" ca="1" si="4"/>
        <v>84790</v>
      </c>
      <c r="T11" s="252">
        <f t="shared" ca="1" si="4"/>
        <v>9760</v>
      </c>
      <c r="U11" s="252">
        <f t="shared" ca="1" si="4"/>
        <v>0</v>
      </c>
      <c r="V11" s="252">
        <f t="shared" ca="1" si="4"/>
        <v>19770</v>
      </c>
      <c r="W11" s="252">
        <f t="shared" ca="1" si="4"/>
        <v>0</v>
      </c>
      <c r="X11" s="252">
        <f t="shared" ca="1" si="4"/>
        <v>0</v>
      </c>
      <c r="Y11" s="252">
        <f t="shared" ca="1" si="4"/>
        <v>600000</v>
      </c>
      <c r="Z11" s="252">
        <f t="shared" ca="1" si="4"/>
        <v>0</v>
      </c>
      <c r="AA11" s="251">
        <f t="shared" ca="1" si="5"/>
        <v>823710</v>
      </c>
      <c r="AB11" s="254">
        <f t="shared" ca="1" si="8"/>
        <v>1946290</v>
      </c>
      <c r="AC11" s="370">
        <f ca="1">E11-AA11+Y11</f>
        <v>1616290</v>
      </c>
    </row>
    <row r="12" spans="1:30" s="2" customFormat="1" ht="21.95" customHeight="1">
      <c r="A12" s="68">
        <f t="shared" si="6"/>
        <v>8</v>
      </c>
      <c r="B12" s="69" t="str">
        <f>입력!B11</f>
        <v>행정실8</v>
      </c>
      <c r="C12" s="111" t="str">
        <f t="shared" ca="1" si="0"/>
        <v>유치원방과후과정전담사</v>
      </c>
      <c r="D12" s="74">
        <f t="shared" ca="1" si="0"/>
        <v>42795</v>
      </c>
      <c r="E12" s="251">
        <f t="shared" ca="1" si="1"/>
        <v>920000</v>
      </c>
      <c r="F12" s="252">
        <f t="shared" ref="F12:F16" ca="1" si="10">IF(OR($B12="",F$3=""),0,INDEX(INDIRECT(F$3),MATCH($B12,명부,0)))</f>
        <v>17500</v>
      </c>
      <c r="G12" s="252">
        <f t="shared" ca="1" si="1"/>
        <v>0</v>
      </c>
      <c r="H12" s="252">
        <f t="shared" ca="1" si="1"/>
        <v>0</v>
      </c>
      <c r="I12" s="252">
        <f t="shared" ca="1" si="1"/>
        <v>0</v>
      </c>
      <c r="J12" s="252">
        <f t="shared" ca="1" si="1"/>
        <v>0</v>
      </c>
      <c r="K12" s="252">
        <f t="shared" ca="1" si="1"/>
        <v>0</v>
      </c>
      <c r="L12" s="252">
        <f ca="1">IF(OR($B12="",L$3=""),0,INDEX(INDIRECT(L$3),MATCH($B12,명부,0)))</f>
        <v>140000</v>
      </c>
      <c r="M12" s="252">
        <f t="shared" ca="1" si="1"/>
        <v>0</v>
      </c>
      <c r="N12" s="251">
        <f ca="1">SUM(F12:M12)</f>
        <v>157500</v>
      </c>
      <c r="O12" s="253">
        <f ca="1">E12+N12</f>
        <v>1077500</v>
      </c>
      <c r="P12" s="252">
        <f t="shared" ca="1" si="4"/>
        <v>0</v>
      </c>
      <c r="Q12" s="252">
        <f t="shared" ca="1" si="4"/>
        <v>0</v>
      </c>
      <c r="R12" s="252">
        <f t="shared" ca="1" si="4"/>
        <v>31230</v>
      </c>
      <c r="S12" s="252">
        <f t="shared" ca="1" si="4"/>
        <v>24210</v>
      </c>
      <c r="T12" s="252">
        <f t="shared" ca="1" si="4"/>
        <v>2780</v>
      </c>
      <c r="U12" s="252">
        <f t="shared" ca="1" si="4"/>
        <v>0</v>
      </c>
      <c r="V12" s="252">
        <f t="shared" ca="1" si="4"/>
        <v>5640</v>
      </c>
      <c r="W12" s="252">
        <f t="shared" ca="1" si="4"/>
        <v>0</v>
      </c>
      <c r="X12" s="252">
        <f t="shared" ca="1" si="4"/>
        <v>0</v>
      </c>
      <c r="Y12" s="252">
        <f t="shared" ca="1" si="4"/>
        <v>0</v>
      </c>
      <c r="Z12" s="252">
        <f t="shared" ca="1" si="4"/>
        <v>0</v>
      </c>
      <c r="AA12" s="251">
        <f ca="1">SUM(P12:Z12)</f>
        <v>63860</v>
      </c>
      <c r="AB12" s="254">
        <f t="shared" ca="1" si="8"/>
        <v>1013640</v>
      </c>
      <c r="AC12" s="370">
        <f t="shared" ca="1" si="9"/>
        <v>856140</v>
      </c>
    </row>
    <row r="13" spans="1:30" s="2" customFormat="1" ht="21.95" customHeight="1">
      <c r="A13" s="68">
        <f t="shared" si="6"/>
        <v>9</v>
      </c>
      <c r="B13" s="69" t="str">
        <f>입력!B12</f>
        <v>행정실9</v>
      </c>
      <c r="C13" s="111" t="str">
        <f t="shared" ca="1" si="0"/>
        <v>유치원방과후과정전담사</v>
      </c>
      <c r="D13" s="74">
        <f t="shared" ca="1" si="0"/>
        <v>42795</v>
      </c>
      <c r="E13" s="251">
        <f t="shared" ca="1" si="1"/>
        <v>920000</v>
      </c>
      <c r="F13" s="252">
        <f t="shared" ca="1" si="10"/>
        <v>17500</v>
      </c>
      <c r="G13" s="252">
        <f t="shared" ca="1" si="1"/>
        <v>0</v>
      </c>
      <c r="H13" s="252">
        <f t="shared" ca="1" si="1"/>
        <v>0</v>
      </c>
      <c r="I13" s="252">
        <f t="shared" ca="1" si="1"/>
        <v>20000</v>
      </c>
      <c r="J13" s="252">
        <f t="shared" ca="1" si="1"/>
        <v>0</v>
      </c>
      <c r="K13" s="252">
        <f t="shared" ca="1" si="1"/>
        <v>0</v>
      </c>
      <c r="L13" s="252">
        <f ca="1">IF(OR($B13="",L$3=""),0,INDEX(INDIRECT(L$3),MATCH($B13,명부,0)))</f>
        <v>140000</v>
      </c>
      <c r="M13" s="252">
        <f t="shared" ca="1" si="1"/>
        <v>0</v>
      </c>
      <c r="N13" s="251">
        <f t="shared" ca="1" si="3"/>
        <v>177500</v>
      </c>
      <c r="O13" s="253">
        <f t="shared" ca="1" si="7"/>
        <v>1097500</v>
      </c>
      <c r="P13" s="252">
        <f t="shared" ca="1" si="4"/>
        <v>0</v>
      </c>
      <c r="Q13" s="252">
        <f t="shared" ca="1" si="4"/>
        <v>0</v>
      </c>
      <c r="R13" s="252">
        <f t="shared" ca="1" si="4"/>
        <v>32400</v>
      </c>
      <c r="S13" s="252">
        <f t="shared" ca="1" si="4"/>
        <v>25110</v>
      </c>
      <c r="T13" s="252">
        <f t="shared" ca="1" si="4"/>
        <v>2890</v>
      </c>
      <c r="U13" s="252">
        <f t="shared" ca="1" si="4"/>
        <v>0</v>
      </c>
      <c r="V13" s="252">
        <f t="shared" ca="1" si="4"/>
        <v>5850</v>
      </c>
      <c r="W13" s="252">
        <f t="shared" ca="1" si="4"/>
        <v>0</v>
      </c>
      <c r="X13" s="252">
        <f t="shared" ca="1" si="4"/>
        <v>0</v>
      </c>
      <c r="Y13" s="252">
        <f t="shared" ca="1" si="4"/>
        <v>0</v>
      </c>
      <c r="Z13" s="252">
        <f t="shared" ca="1" si="4"/>
        <v>0</v>
      </c>
      <c r="AA13" s="251">
        <f t="shared" ca="1" si="5"/>
        <v>66250</v>
      </c>
      <c r="AB13" s="254">
        <f t="shared" ca="1" si="8"/>
        <v>1031250</v>
      </c>
      <c r="AC13" s="370">
        <f t="shared" ca="1" si="9"/>
        <v>853750</v>
      </c>
    </row>
    <row r="14" spans="1:30" s="2" customFormat="1" ht="21.95" customHeight="1">
      <c r="A14" s="68">
        <f t="shared" si="6"/>
        <v>10</v>
      </c>
      <c r="B14" s="69" t="str">
        <f>입력!B13</f>
        <v>행정실10</v>
      </c>
      <c r="C14" s="111" t="str">
        <f t="shared" ca="1" si="0"/>
        <v>유치원시간제기간제교사</v>
      </c>
      <c r="D14" s="74">
        <f t="shared" ca="1" si="0"/>
        <v>43891</v>
      </c>
      <c r="E14" s="251">
        <f t="shared" ca="1" si="1"/>
        <v>1069500</v>
      </c>
      <c r="F14" s="252">
        <f t="shared" ca="1" si="10"/>
        <v>0</v>
      </c>
      <c r="G14" s="252">
        <f t="shared" ca="1" si="1"/>
        <v>0</v>
      </c>
      <c r="H14" s="252">
        <f ca="1">IF(OR($B14="",H$3=""),0,INDEX(INDIRECT(H$3),MATCH($B14,명부,0)))+125000</f>
        <v>125000</v>
      </c>
      <c r="I14" s="252">
        <f ca="1">IF(OR($B14="",I$3=""),0,INDEX(INDIRECT(I$3),MATCH($B14,명부,0)))</f>
        <v>70000</v>
      </c>
      <c r="J14" s="252">
        <f t="shared" ca="1" si="1"/>
        <v>0</v>
      </c>
      <c r="K14" s="252">
        <f ca="1">IF(OR($B14="",K$4=""),0,INDEX(INDIRECT(K$4),MATCH($B14,명부,0)))</f>
        <v>35000</v>
      </c>
      <c r="L14" s="252">
        <f ca="1">IF(OR($B14="",L$3=""),0,INDEX(INDIRECT(L$3),MATCH($B14,명부,0)))</f>
        <v>70000</v>
      </c>
      <c r="M14" s="252">
        <f t="shared" ca="1" si="1"/>
        <v>0</v>
      </c>
      <c r="N14" s="251">
        <f t="shared" ca="1" si="3"/>
        <v>300000</v>
      </c>
      <c r="O14" s="253">
        <f t="shared" ca="1" si="7"/>
        <v>1369500</v>
      </c>
      <c r="P14" s="252">
        <f t="shared" ca="1" si="4"/>
        <v>0</v>
      </c>
      <c r="Q14" s="252">
        <f t="shared" ca="1" si="4"/>
        <v>0</v>
      </c>
      <c r="R14" s="252">
        <f t="shared" ca="1" si="4"/>
        <v>54270</v>
      </c>
      <c r="S14" s="252">
        <f t="shared" ca="1" si="4"/>
        <v>42060</v>
      </c>
      <c r="T14" s="252">
        <f t="shared" ca="1" si="4"/>
        <v>4840</v>
      </c>
      <c r="U14" s="252">
        <f t="shared" ca="1" si="4"/>
        <v>0</v>
      </c>
      <c r="V14" s="252">
        <f t="shared" ca="1" si="4"/>
        <v>11770</v>
      </c>
      <c r="W14" s="252">
        <f t="shared" ca="1" si="4"/>
        <v>0</v>
      </c>
      <c r="X14" s="252">
        <f t="shared" ca="1" si="4"/>
        <v>0</v>
      </c>
      <c r="Y14" s="252">
        <f t="shared" ca="1" si="4"/>
        <v>0</v>
      </c>
      <c r="Z14" s="252">
        <f t="shared" ca="1" si="4"/>
        <v>0</v>
      </c>
      <c r="AA14" s="251">
        <f t="shared" ca="1" si="5"/>
        <v>112940</v>
      </c>
      <c r="AB14" s="254">
        <f t="shared" ca="1" si="8"/>
        <v>1256560</v>
      </c>
      <c r="AC14" s="370">
        <f ca="1">E14-AA14</f>
        <v>956560</v>
      </c>
      <c r="AD14" s="2" t="s">
        <v>266</v>
      </c>
    </row>
    <row r="15" spans="1:30" s="2" customFormat="1" ht="21.95" customHeight="1">
      <c r="A15" s="68">
        <f t="shared" si="6"/>
        <v>11</v>
      </c>
      <c r="B15" s="69" t="str">
        <f>입력!B14</f>
        <v>행정실11</v>
      </c>
      <c r="C15" s="111" t="str">
        <f t="shared" ca="1" si="0"/>
        <v>원어민영어보조교사</v>
      </c>
      <c r="D15" s="74">
        <f t="shared" ca="1" si="0"/>
        <v>44256</v>
      </c>
      <c r="E15" s="251">
        <f t="shared" ca="1" si="1"/>
        <v>2200000</v>
      </c>
      <c r="F15" s="252">
        <f t="shared" ca="1" si="10"/>
        <v>0</v>
      </c>
      <c r="G15" s="252">
        <f t="shared" ca="1" si="1"/>
        <v>0</v>
      </c>
      <c r="H15" s="252">
        <f t="shared" ca="1" si="1"/>
        <v>0</v>
      </c>
      <c r="I15" s="252">
        <f t="shared" ca="1" si="1"/>
        <v>0</v>
      </c>
      <c r="J15" s="252">
        <f t="shared" ca="1" si="1"/>
        <v>0</v>
      </c>
      <c r="K15" s="252">
        <f t="shared" ca="1" si="1"/>
        <v>0</v>
      </c>
      <c r="L15" s="252">
        <f ca="1">IF(OR($B15="",L$4=""),0,INDEX(INDIRECT(L$4),MATCH($B15,명부,0)))</f>
        <v>100000</v>
      </c>
      <c r="M15" s="252">
        <f t="shared" ca="1" si="1"/>
        <v>0</v>
      </c>
      <c r="N15" s="251">
        <f ca="1">SUM(F15:M15)</f>
        <v>100000</v>
      </c>
      <c r="O15" s="253">
        <f ca="1">E15+N15</f>
        <v>2300000</v>
      </c>
      <c r="P15" s="252">
        <f t="shared" ca="1" si="4"/>
        <v>0</v>
      </c>
      <c r="Q15" s="252">
        <f t="shared" ca="1" si="4"/>
        <v>0</v>
      </c>
      <c r="R15" s="252">
        <f t="shared" ca="1" si="4"/>
        <v>114340</v>
      </c>
      <c r="S15" s="252">
        <f t="shared" ca="1" si="4"/>
        <v>87170</v>
      </c>
      <c r="T15" s="252">
        <f t="shared" ca="1" si="4"/>
        <v>10040</v>
      </c>
      <c r="U15" s="252">
        <f t="shared" ca="1" si="4"/>
        <v>0</v>
      </c>
      <c r="V15" s="252">
        <f t="shared" ca="1" si="4"/>
        <v>0</v>
      </c>
      <c r="W15" s="252">
        <f t="shared" ca="1" si="4"/>
        <v>0</v>
      </c>
      <c r="X15" s="252">
        <f t="shared" ca="1" si="4"/>
        <v>0</v>
      </c>
      <c r="Y15" s="252">
        <f t="shared" ca="1" si="4"/>
        <v>0</v>
      </c>
      <c r="Z15" s="252">
        <f t="shared" ca="1" si="4"/>
        <v>0</v>
      </c>
      <c r="AA15" s="251">
        <f t="shared" ref="AA15:AA16" ca="1" si="11">SUM(P15:Z15)</f>
        <v>211550</v>
      </c>
      <c r="AB15" s="254">
        <f t="shared" ca="1" si="8"/>
        <v>2088450</v>
      </c>
      <c r="AC15" s="370">
        <f ca="1">E15-AA15</f>
        <v>1988450</v>
      </c>
    </row>
    <row r="16" spans="1:30" s="2" customFormat="1" ht="21.95" customHeight="1">
      <c r="A16" s="68">
        <f t="shared" si="6"/>
        <v>12</v>
      </c>
      <c r="B16" s="69" t="str">
        <f>입력!B15</f>
        <v>행정실12</v>
      </c>
      <c r="C16" s="111" t="str">
        <f t="shared" ca="1" si="0"/>
        <v>문단속요원</v>
      </c>
      <c r="D16" s="74">
        <f t="shared" ca="1" si="0"/>
        <v>0</v>
      </c>
      <c r="E16" s="251">
        <f t="shared" ca="1" si="1"/>
        <v>600000</v>
      </c>
      <c r="F16" s="252">
        <f t="shared" ca="1" si="10"/>
        <v>0</v>
      </c>
      <c r="G16" s="252">
        <f t="shared" ca="1" si="1"/>
        <v>0</v>
      </c>
      <c r="H16" s="252">
        <f ca="1">IF(OR($B16="",H$4=""),0,INDEX(INDIRECT(H$4),MATCH($B16,명부,0)))</f>
        <v>0</v>
      </c>
      <c r="I16" s="252">
        <f t="shared" ca="1" si="1"/>
        <v>0</v>
      </c>
      <c r="J16" s="252">
        <f ca="1">IF(OR($B16="",I$4=""),0,INDEX(INDIRECT(I$4),MATCH($B16,명부,0)))</f>
        <v>0</v>
      </c>
      <c r="K16" s="252">
        <f t="shared" ca="1" si="1"/>
        <v>0</v>
      </c>
      <c r="L16" s="252">
        <f t="shared" ca="1" si="1"/>
        <v>0</v>
      </c>
      <c r="M16" s="252">
        <f t="shared" ca="1" si="1"/>
        <v>0</v>
      </c>
      <c r="N16" s="251">
        <f t="shared" ref="N16:N18" ca="1" si="12">SUM(F16:M16)</f>
        <v>0</v>
      </c>
      <c r="O16" s="253">
        <f t="shared" ref="O16:O17" ca="1" si="13">E16+N16</f>
        <v>600000</v>
      </c>
      <c r="P16" s="252">
        <f t="shared" ca="1" si="4"/>
        <v>0</v>
      </c>
      <c r="Q16" s="252">
        <f t="shared" ca="1" si="4"/>
        <v>0</v>
      </c>
      <c r="R16" s="252">
        <f t="shared" ca="1" si="4"/>
        <v>0</v>
      </c>
      <c r="S16" s="252">
        <f t="shared" ca="1" si="4"/>
        <v>0</v>
      </c>
      <c r="T16" s="252">
        <f t="shared" ca="1" si="4"/>
        <v>0</v>
      </c>
      <c r="U16" s="252">
        <f t="shared" ca="1" si="4"/>
        <v>0</v>
      </c>
      <c r="V16" s="252">
        <f t="shared" ca="1" si="4"/>
        <v>0</v>
      </c>
      <c r="W16" s="252">
        <f t="shared" ca="1" si="4"/>
        <v>0</v>
      </c>
      <c r="X16" s="252">
        <f t="shared" ca="1" si="4"/>
        <v>0</v>
      </c>
      <c r="Y16" s="252">
        <f t="shared" ca="1" si="4"/>
        <v>0</v>
      </c>
      <c r="Z16" s="252">
        <f t="shared" ca="1" si="4"/>
        <v>0</v>
      </c>
      <c r="AA16" s="251">
        <f t="shared" ca="1" si="11"/>
        <v>0</v>
      </c>
      <c r="AB16" s="254">
        <f t="shared" ca="1" si="8"/>
        <v>600000</v>
      </c>
      <c r="AD16" s="370"/>
    </row>
    <row r="17" spans="1:29" s="2" customFormat="1" ht="21.95" customHeight="1">
      <c r="A17" s="68">
        <f t="shared" si="6"/>
        <v>13</v>
      </c>
      <c r="B17" s="69"/>
      <c r="C17" s="111">
        <f t="shared" ca="1" si="0"/>
        <v>0</v>
      </c>
      <c r="D17" s="74">
        <f t="shared" ca="1" si="0"/>
        <v>0</v>
      </c>
      <c r="E17" s="251">
        <f t="shared" ca="1" si="1"/>
        <v>0</v>
      </c>
      <c r="F17" s="252">
        <f t="shared" ca="1" si="1"/>
        <v>0</v>
      </c>
      <c r="G17" s="252">
        <f t="shared" ca="1" si="1"/>
        <v>0</v>
      </c>
      <c r="H17" s="252">
        <f t="shared" ca="1" si="1"/>
        <v>0</v>
      </c>
      <c r="I17" s="252">
        <f t="shared" ca="1" si="1"/>
        <v>0</v>
      </c>
      <c r="J17" s="252">
        <f t="shared" ca="1" si="1"/>
        <v>0</v>
      </c>
      <c r="K17" s="252">
        <f t="shared" ca="1" si="1"/>
        <v>0</v>
      </c>
      <c r="L17" s="252">
        <f t="shared" ca="1" si="1"/>
        <v>0</v>
      </c>
      <c r="M17" s="252">
        <f t="shared" ca="1" si="1"/>
        <v>0</v>
      </c>
      <c r="N17" s="251">
        <f t="shared" ca="1" si="12"/>
        <v>0</v>
      </c>
      <c r="O17" s="253">
        <f t="shared" ca="1" si="13"/>
        <v>0</v>
      </c>
      <c r="P17" s="252">
        <f t="shared" ca="1" si="4"/>
        <v>0</v>
      </c>
      <c r="Q17" s="252">
        <f t="shared" ca="1" si="4"/>
        <v>0</v>
      </c>
      <c r="R17" s="252">
        <f t="shared" ca="1" si="4"/>
        <v>0</v>
      </c>
      <c r="S17" s="252">
        <f t="shared" ca="1" si="4"/>
        <v>0</v>
      </c>
      <c r="T17" s="252">
        <f t="shared" ca="1" si="4"/>
        <v>0</v>
      </c>
      <c r="U17" s="252">
        <f t="shared" ca="1" si="4"/>
        <v>0</v>
      </c>
      <c r="V17" s="252">
        <f t="shared" ca="1" si="4"/>
        <v>0</v>
      </c>
      <c r="W17" s="252">
        <f t="shared" ca="1" si="4"/>
        <v>0</v>
      </c>
      <c r="X17" s="252">
        <f t="shared" ca="1" si="4"/>
        <v>0</v>
      </c>
      <c r="Y17" s="252">
        <f t="shared" ca="1" si="4"/>
        <v>0</v>
      </c>
      <c r="Z17" s="252">
        <f t="shared" ca="1" si="4"/>
        <v>0</v>
      </c>
      <c r="AA17" s="251">
        <f t="shared" ref="AA17" ca="1" si="14">SUM(P17:Z17)</f>
        <v>0</v>
      </c>
      <c r="AB17" s="254">
        <f t="shared" ca="1" si="8"/>
        <v>0</v>
      </c>
    </row>
    <row r="18" spans="1:29" s="2" customFormat="1" ht="24.75" customHeight="1">
      <c r="A18" s="68">
        <f t="shared" si="6"/>
        <v>14</v>
      </c>
      <c r="B18" s="69"/>
      <c r="C18" s="111">
        <f t="shared" ca="1" si="0"/>
        <v>0</v>
      </c>
      <c r="D18" s="74">
        <f t="shared" ca="1" si="0"/>
        <v>0</v>
      </c>
      <c r="E18" s="251">
        <f t="shared" ca="1" si="1"/>
        <v>0</v>
      </c>
      <c r="F18" s="252">
        <f t="shared" ca="1" si="1"/>
        <v>0</v>
      </c>
      <c r="G18" s="252">
        <f t="shared" ca="1" si="1"/>
        <v>0</v>
      </c>
      <c r="H18" s="252">
        <f t="shared" ca="1" si="1"/>
        <v>0</v>
      </c>
      <c r="I18" s="252">
        <f t="shared" ca="1" si="1"/>
        <v>0</v>
      </c>
      <c r="J18" s="252">
        <f t="shared" ca="1" si="1"/>
        <v>0</v>
      </c>
      <c r="K18" s="252">
        <f ca="1">IF(OR($B18="",K$4=""),0,INDEX(INDIRECT(K$4),MATCH($B18,명부,0)))</f>
        <v>0</v>
      </c>
      <c r="L18" s="252">
        <f ca="1">IF(OR($B18="",L$4=""),0,INDEX(INDIRECT(L$4),MATCH($B18,명부,0)))</f>
        <v>0</v>
      </c>
      <c r="M18" s="252">
        <f t="shared" ca="1" si="1"/>
        <v>0</v>
      </c>
      <c r="N18" s="251">
        <f t="shared" ca="1" si="12"/>
        <v>0</v>
      </c>
      <c r="O18" s="253"/>
      <c r="P18" s="252">
        <f t="shared" ca="1" si="4"/>
        <v>0</v>
      </c>
      <c r="Q18" s="252">
        <f t="shared" ca="1" si="4"/>
        <v>0</v>
      </c>
      <c r="R18" s="252">
        <f t="shared" ca="1" si="4"/>
        <v>0</v>
      </c>
      <c r="S18" s="252">
        <f t="shared" ca="1" si="4"/>
        <v>0</v>
      </c>
      <c r="T18" s="252">
        <f t="shared" ca="1" si="4"/>
        <v>0</v>
      </c>
      <c r="U18" s="252">
        <f t="shared" ca="1" si="4"/>
        <v>0</v>
      </c>
      <c r="V18" s="252">
        <f t="shared" ca="1" si="4"/>
        <v>0</v>
      </c>
      <c r="W18" s="252">
        <f t="shared" ca="1" si="4"/>
        <v>0</v>
      </c>
      <c r="X18" s="252">
        <f t="shared" ca="1" si="4"/>
        <v>0</v>
      </c>
      <c r="Y18" s="252">
        <f t="shared" ca="1" si="4"/>
        <v>0</v>
      </c>
      <c r="Z18" s="252">
        <f t="shared" ca="1" si="4"/>
        <v>0</v>
      </c>
      <c r="AA18" s="251"/>
      <c r="AB18" s="254"/>
    </row>
    <row r="19" spans="1:29" s="2" customFormat="1" ht="26.1" customHeight="1" thickBot="1">
      <c r="A19" s="579" t="s">
        <v>114</v>
      </c>
      <c r="B19" s="580"/>
      <c r="C19" s="255">
        <f ca="1">IF($B19="",0,INDEX(INDIRECT(C$3),MATCH($B19,명부,0)))</f>
        <v>0</v>
      </c>
      <c r="D19" s="256">
        <f ca="1">IF($B19="",0,INDEX(INDIRECT(D$3),MATCH($B19,명부,0)))</f>
        <v>0</v>
      </c>
      <c r="E19" s="257">
        <f ca="1">SUM(E5:E18)</f>
        <v>16404500</v>
      </c>
      <c r="F19" s="257">
        <f ca="1">SUM(F5:F18)</f>
        <v>3080000</v>
      </c>
      <c r="G19" s="257">
        <f t="shared" ref="G19" ca="1" si="15">SUM(G5:G18)</f>
        <v>0</v>
      </c>
      <c r="H19" s="257">
        <f t="shared" ref="H19:N19" ca="1" si="16">SUM(H5:H18)</f>
        <v>125000</v>
      </c>
      <c r="I19" s="257">
        <f t="shared" ca="1" si="16"/>
        <v>277500</v>
      </c>
      <c r="J19" s="257">
        <f t="shared" ca="1" si="16"/>
        <v>0</v>
      </c>
      <c r="K19" s="257">
        <f t="shared" ca="1" si="16"/>
        <v>235000</v>
      </c>
      <c r="L19" s="257">
        <f ca="1">SUM(L5:L18)</f>
        <v>1430000</v>
      </c>
      <c r="M19" s="257">
        <f t="shared" ca="1" si="16"/>
        <v>0</v>
      </c>
      <c r="N19" s="257">
        <f t="shared" ca="1" si="16"/>
        <v>5147500</v>
      </c>
      <c r="O19" s="258">
        <f ca="1">IF(입력!BB17=SUM(O5:O18),SUM(O5:O18),"틀림")</f>
        <v>21552000</v>
      </c>
      <c r="P19" s="257">
        <f t="shared" ref="P19:X19" ca="1" si="17">SUM(P5:P18)</f>
        <v>0</v>
      </c>
      <c r="Q19" s="257">
        <f t="shared" ca="1" si="17"/>
        <v>0</v>
      </c>
      <c r="R19" s="257">
        <f t="shared" ca="1" si="17"/>
        <v>788640</v>
      </c>
      <c r="S19" s="257">
        <f t="shared" ca="1" si="17"/>
        <v>657230</v>
      </c>
      <c r="T19" s="257">
        <f t="shared" ca="1" si="17"/>
        <v>75660</v>
      </c>
      <c r="U19" s="257">
        <f t="shared" ca="1" si="17"/>
        <v>0</v>
      </c>
      <c r="V19" s="257">
        <f t="shared" ca="1" si="17"/>
        <v>134700</v>
      </c>
      <c r="W19" s="257">
        <f t="shared" ca="1" si="17"/>
        <v>0</v>
      </c>
      <c r="X19" s="257">
        <f t="shared" ca="1" si="17"/>
        <v>0</v>
      </c>
      <c r="Y19" s="257"/>
      <c r="Z19" s="257">
        <f ca="1">SUM(Z5:Z18)</f>
        <v>0</v>
      </c>
      <c r="AA19" s="257">
        <f ca="1">SUM(AA5:AA18)</f>
        <v>4656230</v>
      </c>
      <c r="AB19" s="259">
        <f ca="1">IF((입력!BR17)=SUM(AB5:AB18),SUM(AB5:AB18),"틀림")</f>
        <v>16895770</v>
      </c>
      <c r="AC19" s="370">
        <f ca="1">SUM(AC5:AC13)</f>
        <v>11203260</v>
      </c>
    </row>
    <row r="20" spans="1:29" s="2" customFormat="1" ht="8.25" customHeight="1">
      <c r="A20" s="260"/>
      <c r="B20" s="261"/>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row>
    <row r="21" spans="1:29">
      <c r="D21" s="22"/>
      <c r="E21" s="264"/>
      <c r="F21" s="264"/>
      <c r="G21" s="265"/>
      <c r="H21" s="127"/>
      <c r="I21" s="127"/>
      <c r="J21" s="574"/>
      <c r="K21" s="574"/>
      <c r="L21" s="263"/>
      <c r="M21" s="127"/>
    </row>
    <row r="22" spans="1:29">
      <c r="L22" s="127"/>
      <c r="M22" s="127"/>
    </row>
    <row r="23" spans="1:29">
      <c r="A23" s="3"/>
      <c r="L23" s="127"/>
      <c r="M23" s="127"/>
    </row>
    <row r="24" spans="1:29">
      <c r="A24" s="3"/>
      <c r="L24" s="127"/>
    </row>
    <row r="25" spans="1:29">
      <c r="A25" s="3"/>
    </row>
  </sheetData>
  <mergeCells count="24">
    <mergeCell ref="S3:S4"/>
    <mergeCell ref="T3:T4"/>
    <mergeCell ref="U3:U4"/>
    <mergeCell ref="V3:V4"/>
    <mergeCell ref="N3:N4"/>
    <mergeCell ref="O3:O4"/>
    <mergeCell ref="P3:P4"/>
    <mergeCell ref="Q3:Q4"/>
    <mergeCell ref="R3:R4"/>
    <mergeCell ref="AA3:AA4"/>
    <mergeCell ref="AB3:AB4"/>
    <mergeCell ref="A19:B19"/>
    <mergeCell ref="X3:X4"/>
    <mergeCell ref="Z3:Z4"/>
    <mergeCell ref="G3:G4"/>
    <mergeCell ref="A3:A4"/>
    <mergeCell ref="B3:B4"/>
    <mergeCell ref="C3:C4"/>
    <mergeCell ref="D3:D4"/>
    <mergeCell ref="E3:E4"/>
    <mergeCell ref="F3:F4"/>
    <mergeCell ref="W3:W4"/>
    <mergeCell ref="Y3:Y4"/>
    <mergeCell ref="J21:K21"/>
  </mergeCells>
  <phoneticPr fontId="3" type="noConversion"/>
  <printOptions horizontalCentered="1"/>
  <pageMargins left="0.81" right="0.35433070866141736" top="0.79" bottom="0.47244094488188981" header="0.54" footer="0.31496062992125984"/>
  <pageSetup paperSize="9" scale="55" orientation="landscape" horizont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977111117893"/>
    <pageSetUpPr fitToPage="1"/>
  </sheetPr>
  <dimension ref="A1:Y29"/>
  <sheetViews>
    <sheetView showZeros="0" view="pageBreakPreview" zoomScaleNormal="100" zoomScaleSheetLayoutView="100" workbookViewId="0">
      <pane xSplit="2" ySplit="3" topLeftCell="C9" activePane="bottomRight" state="frozen"/>
      <selection activeCell="E51" sqref="E51"/>
      <selection pane="topRight" activeCell="E51" sqref="E51"/>
      <selection pane="bottomLeft" activeCell="E51" sqref="E51"/>
      <selection pane="bottomRight" activeCell="N29" sqref="N29"/>
    </sheetView>
  </sheetViews>
  <sheetFormatPr defaultRowHeight="14.25"/>
  <cols>
    <col min="1" max="1" width="4.44140625" style="195" customWidth="1"/>
    <col min="2" max="2" width="9.33203125" style="195" customWidth="1"/>
    <col min="3" max="3" width="9.109375" style="195" customWidth="1"/>
    <col min="4" max="4" width="8.33203125" style="195" customWidth="1"/>
    <col min="5" max="6" width="8.44140625" style="195" customWidth="1"/>
    <col min="7" max="7" width="7.5546875" style="195" customWidth="1"/>
    <col min="8" max="8" width="6.88671875" style="195" customWidth="1"/>
    <col min="9" max="10" width="6.5546875" style="195" customWidth="1"/>
    <col min="11" max="11" width="7.77734375" style="195" customWidth="1"/>
    <col min="12" max="12" width="7.44140625" style="195" customWidth="1"/>
    <col min="13" max="13" width="9.33203125" style="195" customWidth="1"/>
    <col min="14" max="16" width="8.33203125" style="195" customWidth="1"/>
    <col min="17" max="17" width="7.77734375" style="195" customWidth="1"/>
    <col min="18" max="20" width="7" style="195" customWidth="1"/>
    <col min="21" max="21" width="8.88671875" style="195" customWidth="1"/>
    <col min="22" max="22" width="10.109375" style="195" customWidth="1"/>
    <col min="23" max="23" width="2" style="195" customWidth="1"/>
    <col min="24" max="16384" width="8.88671875" style="195"/>
  </cols>
  <sheetData>
    <row r="1" spans="1:25" ht="39" customHeight="1" thickBot="1">
      <c r="A1" s="194" t="str">
        <f>TEXT((입력!C2),"yyyy년 m월분")&amp;" 교육공무직 4대보험료 산출내역"</f>
        <v>2021년 11월분 교육공무직 4대보험료 산출내역</v>
      </c>
      <c r="V1" s="196" t="s">
        <v>264</v>
      </c>
    </row>
    <row r="2" spans="1:25" s="197" customFormat="1" ht="28.5" customHeight="1">
      <c r="A2" s="603" t="s">
        <v>140</v>
      </c>
      <c r="B2" s="605" t="s">
        <v>141</v>
      </c>
      <c r="C2" s="607" t="s">
        <v>142</v>
      </c>
      <c r="D2" s="607"/>
      <c r="E2" s="607"/>
      <c r="F2" s="607"/>
      <c r="G2" s="607"/>
      <c r="H2" s="607"/>
      <c r="I2" s="607"/>
      <c r="J2" s="607"/>
      <c r="K2" s="607"/>
      <c r="L2" s="607"/>
      <c r="M2" s="607"/>
      <c r="N2" s="608" t="s">
        <v>143</v>
      </c>
      <c r="O2" s="608"/>
      <c r="P2" s="608"/>
      <c r="Q2" s="608"/>
      <c r="R2" s="608"/>
      <c r="S2" s="608"/>
      <c r="T2" s="608"/>
      <c r="U2" s="608"/>
      <c r="V2" s="597" t="s">
        <v>144</v>
      </c>
      <c r="X2" s="195"/>
      <c r="Y2" s="195"/>
    </row>
    <row r="3" spans="1:25" s="197" customFormat="1" ht="39.75" customHeight="1">
      <c r="A3" s="604"/>
      <c r="B3" s="606"/>
      <c r="C3" s="198" t="s">
        <v>145</v>
      </c>
      <c r="D3" s="198" t="s">
        <v>146</v>
      </c>
      <c r="E3" s="198" t="s">
        <v>147</v>
      </c>
      <c r="F3" s="198" t="s">
        <v>148</v>
      </c>
      <c r="G3" s="198" t="s">
        <v>149</v>
      </c>
      <c r="H3" s="199" t="s">
        <v>150</v>
      </c>
      <c r="I3" s="199" t="s">
        <v>151</v>
      </c>
      <c r="J3" s="199" t="s">
        <v>152</v>
      </c>
      <c r="K3" s="198" t="s">
        <v>153</v>
      </c>
      <c r="L3" s="198" t="s">
        <v>154</v>
      </c>
      <c r="M3" s="200" t="s">
        <v>155</v>
      </c>
      <c r="N3" s="198" t="s">
        <v>156</v>
      </c>
      <c r="O3" s="198" t="s">
        <v>419</v>
      </c>
      <c r="P3" s="198" t="s">
        <v>158</v>
      </c>
      <c r="Q3" s="198" t="s">
        <v>159</v>
      </c>
      <c r="R3" s="199" t="s">
        <v>420</v>
      </c>
      <c r="S3" s="199" t="s">
        <v>421</v>
      </c>
      <c r="T3" s="199" t="s">
        <v>422</v>
      </c>
      <c r="U3" s="200" t="s">
        <v>155</v>
      </c>
      <c r="V3" s="598"/>
      <c r="W3" s="195"/>
      <c r="X3" s="195"/>
      <c r="Y3" s="195"/>
    </row>
    <row r="4" spans="1:25" s="197" customFormat="1" ht="21.95" customHeight="1">
      <c r="A4" s="599" t="s">
        <v>160</v>
      </c>
      <c r="B4" s="201" t="str">
        <f>임금총괄!B5</f>
        <v>행정실1</v>
      </c>
      <c r="C4" s="202">
        <f t="shared" ref="C4:R18" ca="1" si="0">IF(OR($B4="",C$3=""),0,INDEX(INDIRECT(C$3),MATCH($B4,명부,0)))</f>
        <v>47390</v>
      </c>
      <c r="D4" s="202">
        <f t="shared" ca="1" si="0"/>
        <v>5450</v>
      </c>
      <c r="E4" s="203">
        <f t="shared" ca="1" si="0"/>
        <v>0</v>
      </c>
      <c r="F4" s="203">
        <f t="shared" ca="1" si="0"/>
        <v>11050</v>
      </c>
      <c r="G4" s="203">
        <f t="shared" ca="1" si="0"/>
        <v>11740</v>
      </c>
      <c r="H4" s="203">
        <f t="shared" ca="1" si="0"/>
        <v>0</v>
      </c>
      <c r="I4" s="203">
        <f t="shared" ca="1" si="0"/>
        <v>0</v>
      </c>
      <c r="J4" s="203">
        <f t="shared" ca="1" si="0"/>
        <v>0</v>
      </c>
      <c r="K4" s="203">
        <f t="shared" ca="1" si="0"/>
        <v>13810</v>
      </c>
      <c r="L4" s="203">
        <f t="shared" ca="1" si="0"/>
        <v>0</v>
      </c>
      <c r="M4" s="203">
        <f ca="1">SUM(C4:L4)</f>
        <v>89440</v>
      </c>
      <c r="N4" s="203">
        <f t="shared" ca="1" si="0"/>
        <v>47390</v>
      </c>
      <c r="O4" s="203">
        <f t="shared" ca="1" si="0"/>
        <v>5450</v>
      </c>
      <c r="P4" s="203">
        <f t="shared" ca="1" si="0"/>
        <v>0</v>
      </c>
      <c r="Q4" s="203">
        <f t="shared" ca="1" si="0"/>
        <v>11050</v>
      </c>
      <c r="R4" s="203">
        <f t="shared" ca="1" si="0"/>
        <v>0</v>
      </c>
      <c r="S4" s="203">
        <f t="shared" ref="N4:T16" ca="1" si="1">IF(OR($B4="",S$3=""),0,INDEX(INDIRECT(S$3),MATCH($B4,명부,0)))</f>
        <v>0</v>
      </c>
      <c r="T4" s="203">
        <f t="shared" ca="1" si="1"/>
        <v>0</v>
      </c>
      <c r="U4" s="203">
        <f ca="1">SUM(N4:T4)</f>
        <v>63890</v>
      </c>
      <c r="V4" s="204">
        <f ca="1">M4+U4</f>
        <v>153330</v>
      </c>
      <c r="W4" s="205"/>
      <c r="X4" s="206"/>
      <c r="Y4" s="206"/>
    </row>
    <row r="5" spans="1:25" s="197" customFormat="1" ht="21.95" customHeight="1">
      <c r="A5" s="600"/>
      <c r="B5" s="201" t="str">
        <f>임금총괄!B6</f>
        <v>행정실2</v>
      </c>
      <c r="C5" s="202">
        <f t="shared" ca="1" si="0"/>
        <v>38410</v>
      </c>
      <c r="D5" s="202">
        <f t="shared" ca="1" si="0"/>
        <v>4420</v>
      </c>
      <c r="E5" s="203">
        <f t="shared" ca="1" si="0"/>
        <v>49340</v>
      </c>
      <c r="F5" s="203">
        <f t="shared" ca="1" si="0"/>
        <v>8950</v>
      </c>
      <c r="G5" s="203">
        <f t="shared" ca="1" si="0"/>
        <v>9510</v>
      </c>
      <c r="H5" s="203">
        <f t="shared" ca="1" si="0"/>
        <v>0</v>
      </c>
      <c r="I5" s="203">
        <f t="shared" ca="1" si="0"/>
        <v>0</v>
      </c>
      <c r="J5" s="203">
        <f t="shared" ca="1" si="0"/>
        <v>0</v>
      </c>
      <c r="K5" s="203">
        <f t="shared" ca="1" si="0"/>
        <v>11190</v>
      </c>
      <c r="L5" s="203">
        <f t="shared" ca="1" si="0"/>
        <v>0</v>
      </c>
      <c r="M5" s="203">
        <f ca="1">SUM(C5:L5)</f>
        <v>121820</v>
      </c>
      <c r="N5" s="203">
        <f t="shared" ca="1" si="1"/>
        <v>38410</v>
      </c>
      <c r="O5" s="203">
        <f t="shared" ca="1" si="1"/>
        <v>4420</v>
      </c>
      <c r="P5" s="203">
        <f t="shared" ca="1" si="1"/>
        <v>49540</v>
      </c>
      <c r="Q5" s="203">
        <f t="shared" ca="1" si="1"/>
        <v>8950</v>
      </c>
      <c r="R5" s="203">
        <f t="shared" ca="1" si="1"/>
        <v>0</v>
      </c>
      <c r="S5" s="203">
        <f t="shared" ca="1" si="1"/>
        <v>0</v>
      </c>
      <c r="T5" s="203">
        <f t="shared" ca="1" si="1"/>
        <v>0</v>
      </c>
      <c r="U5" s="203">
        <f ca="1">SUM(N5:T5)</f>
        <v>101320</v>
      </c>
      <c r="V5" s="204">
        <f ca="1">M5+U5</f>
        <v>223140</v>
      </c>
      <c r="W5" s="205"/>
      <c r="X5" s="206"/>
      <c r="Y5" s="206"/>
    </row>
    <row r="6" spans="1:25" s="197" customFormat="1" ht="21.95" customHeight="1">
      <c r="A6" s="600"/>
      <c r="B6" s="201" t="str">
        <f>임금총괄!B7</f>
        <v>행정실3</v>
      </c>
      <c r="C6" s="202">
        <f t="shared" ca="1" si="0"/>
        <v>54100</v>
      </c>
      <c r="D6" s="202">
        <f t="shared" ca="1" si="0"/>
        <v>6230</v>
      </c>
      <c r="E6" s="203">
        <f t="shared" ca="1" si="0"/>
        <v>69790</v>
      </c>
      <c r="F6" s="203">
        <f t="shared" ca="1" si="0"/>
        <v>12610</v>
      </c>
      <c r="G6" s="203">
        <f t="shared" ca="1" si="0"/>
        <v>13400</v>
      </c>
      <c r="H6" s="203">
        <f t="shared" ca="1" si="0"/>
        <v>0</v>
      </c>
      <c r="I6" s="203">
        <f t="shared" ca="1" si="0"/>
        <v>0</v>
      </c>
      <c r="J6" s="203">
        <f t="shared" ca="1" si="0"/>
        <v>0</v>
      </c>
      <c r="K6" s="203">
        <f t="shared" ca="1" si="0"/>
        <v>15770</v>
      </c>
      <c r="L6" s="203">
        <f t="shared" ca="1" si="0"/>
        <v>0</v>
      </c>
      <c r="M6" s="203">
        <f t="shared" ref="M6:M18" ca="1" si="2">SUM(C6:L6)</f>
        <v>171900</v>
      </c>
      <c r="N6" s="203">
        <f t="shared" ca="1" si="1"/>
        <v>54100</v>
      </c>
      <c r="O6" s="203">
        <f t="shared" ca="1" si="1"/>
        <v>6230</v>
      </c>
      <c r="P6" s="203">
        <f t="shared" ca="1" si="1"/>
        <v>69790</v>
      </c>
      <c r="Q6" s="203">
        <f t="shared" ca="1" si="1"/>
        <v>12610</v>
      </c>
      <c r="R6" s="203">
        <f t="shared" ca="1" si="1"/>
        <v>0</v>
      </c>
      <c r="S6" s="203">
        <f t="shared" ca="1" si="1"/>
        <v>0</v>
      </c>
      <c r="T6" s="203">
        <f t="shared" ca="1" si="1"/>
        <v>0</v>
      </c>
      <c r="U6" s="203">
        <f t="shared" ref="U6:U18" ca="1" si="3">SUM(N6:T6)</f>
        <v>142730</v>
      </c>
      <c r="V6" s="204">
        <f t="shared" ref="V6:V18" ca="1" si="4">M6+U6</f>
        <v>314630</v>
      </c>
      <c r="W6" s="205"/>
      <c r="X6" s="206"/>
      <c r="Y6" s="206"/>
    </row>
    <row r="7" spans="1:25" s="197" customFormat="1" ht="21.95" customHeight="1">
      <c r="A7" s="600"/>
      <c r="B7" s="201" t="str">
        <f>임금총괄!B8</f>
        <v>행정실4</v>
      </c>
      <c r="C7" s="202">
        <f t="shared" ca="1" si="0"/>
        <v>82420</v>
      </c>
      <c r="D7" s="202">
        <f t="shared" ca="1" si="0"/>
        <v>9490</v>
      </c>
      <c r="E7" s="203">
        <f t="shared" ca="1" si="0"/>
        <v>106330</v>
      </c>
      <c r="F7" s="203">
        <f t="shared" ca="1" si="0"/>
        <v>19050</v>
      </c>
      <c r="G7" s="203">
        <f ca="1">IF(OR($B7="",G$3=""),0,INDEX(INDIRECT(G$3),MATCH($B7,명부,0)))</f>
        <v>20240</v>
      </c>
      <c r="H7" s="203">
        <f t="shared" ca="1" si="0"/>
        <v>0</v>
      </c>
      <c r="I7" s="203">
        <f t="shared" ca="1" si="0"/>
        <v>0</v>
      </c>
      <c r="J7" s="203">
        <f t="shared" ca="1" si="0"/>
        <v>0</v>
      </c>
      <c r="K7" s="203">
        <f t="shared" ca="1" si="0"/>
        <v>23810</v>
      </c>
      <c r="L7" s="203">
        <f t="shared" ca="1" si="0"/>
        <v>0</v>
      </c>
      <c r="M7" s="203">
        <f t="shared" ca="1" si="2"/>
        <v>261340</v>
      </c>
      <c r="N7" s="203">
        <f t="shared" ca="1" si="1"/>
        <v>82420</v>
      </c>
      <c r="O7" s="203">
        <f t="shared" ca="1" si="1"/>
        <v>9490</v>
      </c>
      <c r="P7" s="203">
        <f t="shared" ca="1" si="1"/>
        <v>106330</v>
      </c>
      <c r="Q7" s="203">
        <f t="shared" ca="1" si="1"/>
        <v>19050</v>
      </c>
      <c r="R7" s="203">
        <f t="shared" ca="1" si="1"/>
        <v>0</v>
      </c>
      <c r="S7" s="203">
        <f t="shared" ca="1" si="1"/>
        <v>0</v>
      </c>
      <c r="T7" s="203">
        <f t="shared" ca="1" si="1"/>
        <v>0</v>
      </c>
      <c r="U7" s="203">
        <f t="shared" ca="1" si="3"/>
        <v>217290</v>
      </c>
      <c r="V7" s="204">
        <f t="shared" ca="1" si="4"/>
        <v>478630</v>
      </c>
      <c r="W7" s="205"/>
      <c r="X7" s="206"/>
      <c r="Y7" s="206"/>
    </row>
    <row r="8" spans="1:25" s="197" customFormat="1" ht="21.95" customHeight="1">
      <c r="A8" s="600"/>
      <c r="B8" s="201" t="str">
        <f>임금총괄!B9</f>
        <v>행정실5</v>
      </c>
      <c r="C8" s="202">
        <f t="shared" ca="1" si="0"/>
        <v>84380</v>
      </c>
      <c r="D8" s="202">
        <f ca="1">IF(OR($B8="",D$3=""),0,INDEX(INDIRECT(D$3),MATCH($B8,명부,0)))</f>
        <v>9720</v>
      </c>
      <c r="E8" s="203">
        <f t="shared" ca="1" si="0"/>
        <v>108850</v>
      </c>
      <c r="F8" s="203">
        <f t="shared" ca="1" si="0"/>
        <v>19680</v>
      </c>
      <c r="G8" s="203">
        <f t="shared" ca="1" si="0"/>
        <v>20910</v>
      </c>
      <c r="H8" s="203">
        <f t="shared" ca="1" si="0"/>
        <v>0</v>
      </c>
      <c r="I8" s="203">
        <f t="shared" ca="1" si="0"/>
        <v>0</v>
      </c>
      <c r="J8" s="203">
        <f t="shared" ca="1" si="0"/>
        <v>0</v>
      </c>
      <c r="K8" s="203">
        <f t="shared" ca="1" si="0"/>
        <v>24600</v>
      </c>
      <c r="L8" s="203">
        <f t="shared" ca="1" si="0"/>
        <v>0</v>
      </c>
      <c r="M8" s="203">
        <f t="shared" ref="M8:M9" ca="1" si="5">SUM(C8:L8)</f>
        <v>268140</v>
      </c>
      <c r="N8" s="203">
        <f t="shared" ca="1" si="1"/>
        <v>84380</v>
      </c>
      <c r="O8" s="203">
        <f t="shared" ca="1" si="1"/>
        <v>9720</v>
      </c>
      <c r="P8" s="203">
        <f t="shared" ca="1" si="1"/>
        <v>108850</v>
      </c>
      <c r="Q8" s="203">
        <f t="shared" ca="1" si="1"/>
        <v>19680</v>
      </c>
      <c r="R8" s="203">
        <f t="shared" ca="1" si="1"/>
        <v>0</v>
      </c>
      <c r="S8" s="203">
        <f t="shared" ca="1" si="1"/>
        <v>0</v>
      </c>
      <c r="T8" s="203">
        <f t="shared" ca="1" si="1"/>
        <v>0</v>
      </c>
      <c r="U8" s="203">
        <f t="shared" ref="U8:U9" ca="1" si="6">SUM(N8:T8)</f>
        <v>222630</v>
      </c>
      <c r="V8" s="204">
        <f t="shared" ref="V8:V9" ca="1" si="7">M8+U8</f>
        <v>490770</v>
      </c>
      <c r="W8" s="205"/>
      <c r="X8" s="206"/>
      <c r="Y8" s="206"/>
    </row>
    <row r="9" spans="1:25" s="197" customFormat="1" ht="21.95" customHeight="1">
      <c r="A9" s="600"/>
      <c r="B9" s="201" t="str">
        <f>임금총괄!B10</f>
        <v>행정실6</v>
      </c>
      <c r="C9" s="202">
        <f t="shared" ca="1" si="0"/>
        <v>87190</v>
      </c>
      <c r="D9" s="202">
        <f ca="1">IF(OR($B9="",D$3=""),0,INDEX(INDIRECT(D$3),MATCH($B9,명부,0)))</f>
        <v>10040</v>
      </c>
      <c r="E9" s="203">
        <f t="shared" ca="1" si="0"/>
        <v>112500</v>
      </c>
      <c r="F9" s="203">
        <f t="shared" ca="1" si="0"/>
        <v>20330</v>
      </c>
      <c r="G9" s="203">
        <f t="shared" ca="1" si="0"/>
        <v>21600</v>
      </c>
      <c r="H9" s="203">
        <f t="shared" ca="1" si="0"/>
        <v>0</v>
      </c>
      <c r="I9" s="203">
        <f t="shared" ca="1" si="0"/>
        <v>0</v>
      </c>
      <c r="J9" s="203">
        <f t="shared" ca="1" si="0"/>
        <v>0</v>
      </c>
      <c r="K9" s="203">
        <f t="shared" ca="1" si="0"/>
        <v>25420</v>
      </c>
      <c r="L9" s="203">
        <f t="shared" ca="1" si="0"/>
        <v>0</v>
      </c>
      <c r="M9" s="203">
        <f t="shared" ca="1" si="5"/>
        <v>277080</v>
      </c>
      <c r="N9" s="203">
        <f t="shared" ca="1" si="1"/>
        <v>87190</v>
      </c>
      <c r="O9" s="203">
        <f t="shared" ca="1" si="1"/>
        <v>10040</v>
      </c>
      <c r="P9" s="203">
        <f t="shared" ca="1" si="1"/>
        <v>112500</v>
      </c>
      <c r="Q9" s="203">
        <f t="shared" ca="1" si="1"/>
        <v>20330</v>
      </c>
      <c r="R9" s="203">
        <f t="shared" ca="1" si="1"/>
        <v>0</v>
      </c>
      <c r="S9" s="203">
        <f t="shared" ca="1" si="1"/>
        <v>0</v>
      </c>
      <c r="T9" s="203">
        <f t="shared" ca="1" si="1"/>
        <v>0</v>
      </c>
      <c r="U9" s="203">
        <f t="shared" ca="1" si="6"/>
        <v>230060</v>
      </c>
      <c r="V9" s="204">
        <f t="shared" ca="1" si="7"/>
        <v>507140</v>
      </c>
      <c r="W9" s="205"/>
      <c r="X9" s="206"/>
      <c r="Y9" s="206"/>
    </row>
    <row r="10" spans="1:25" s="197" customFormat="1" ht="21.95" customHeight="1">
      <c r="A10" s="600"/>
      <c r="B10" s="201" t="str">
        <f>임금총괄!B11</f>
        <v>행정실7</v>
      </c>
      <c r="C10" s="202">
        <f t="shared" ca="1" si="0"/>
        <v>84790</v>
      </c>
      <c r="D10" s="202">
        <f t="shared" ca="1" si="0"/>
        <v>9760</v>
      </c>
      <c r="E10" s="203">
        <f t="shared" ca="1" si="0"/>
        <v>109390</v>
      </c>
      <c r="F10" s="203">
        <f t="shared" ca="1" si="0"/>
        <v>19770</v>
      </c>
      <c r="G10" s="203">
        <f t="shared" ca="1" si="0"/>
        <v>21010</v>
      </c>
      <c r="H10" s="203">
        <f t="shared" ca="1" si="0"/>
        <v>0</v>
      </c>
      <c r="I10" s="203">
        <f t="shared" ca="1" si="0"/>
        <v>0</v>
      </c>
      <c r="J10" s="203">
        <f t="shared" ca="1" si="0"/>
        <v>0</v>
      </c>
      <c r="K10" s="203">
        <f t="shared" ca="1" si="0"/>
        <v>24720</v>
      </c>
      <c r="L10" s="203">
        <f t="shared" ca="1" si="0"/>
        <v>0</v>
      </c>
      <c r="M10" s="203">
        <f ca="1">SUM(C10:L10)</f>
        <v>269440</v>
      </c>
      <c r="N10" s="203">
        <f t="shared" ca="1" si="1"/>
        <v>84790</v>
      </c>
      <c r="O10" s="203">
        <f t="shared" ca="1" si="1"/>
        <v>9760</v>
      </c>
      <c r="P10" s="203">
        <f t="shared" ca="1" si="1"/>
        <v>109390</v>
      </c>
      <c r="Q10" s="203">
        <f t="shared" ca="1" si="1"/>
        <v>19770</v>
      </c>
      <c r="R10" s="203">
        <f t="shared" ca="1" si="1"/>
        <v>0</v>
      </c>
      <c r="S10" s="203">
        <f t="shared" ca="1" si="1"/>
        <v>0</v>
      </c>
      <c r="T10" s="203">
        <f t="shared" ca="1" si="1"/>
        <v>0</v>
      </c>
      <c r="U10" s="203">
        <f ca="1">SUM(N10:T10)</f>
        <v>223710</v>
      </c>
      <c r="V10" s="204">
        <f ca="1">M10+U10</f>
        <v>493150</v>
      </c>
      <c r="W10" s="205"/>
      <c r="X10" s="206"/>
      <c r="Y10" s="206"/>
    </row>
    <row r="11" spans="1:25" s="197" customFormat="1" ht="26.25" customHeight="1">
      <c r="A11" s="600"/>
      <c r="B11" s="201" t="str">
        <f>임금총괄!B12</f>
        <v>행정실8</v>
      </c>
      <c r="C11" s="202">
        <f t="shared" ca="1" si="0"/>
        <v>24210</v>
      </c>
      <c r="D11" s="202">
        <f t="shared" ca="1" si="0"/>
        <v>2780</v>
      </c>
      <c r="E11" s="203">
        <f t="shared" ca="1" si="0"/>
        <v>31230</v>
      </c>
      <c r="F11" s="203">
        <f t="shared" ca="1" si="0"/>
        <v>5640</v>
      </c>
      <c r="G11" s="203">
        <f t="shared" ca="1" si="0"/>
        <v>6000</v>
      </c>
      <c r="H11" s="203">
        <f t="shared" ca="1" si="0"/>
        <v>0</v>
      </c>
      <c r="I11" s="203">
        <f t="shared" ca="1" si="0"/>
        <v>0</v>
      </c>
      <c r="J11" s="203">
        <f t="shared" ca="1" si="0"/>
        <v>0</v>
      </c>
      <c r="K11" s="203">
        <f t="shared" ca="1" si="0"/>
        <v>7060</v>
      </c>
      <c r="L11" s="203">
        <f t="shared" ca="1" si="0"/>
        <v>0</v>
      </c>
      <c r="M11" s="203">
        <f t="shared" ca="1" si="2"/>
        <v>76920</v>
      </c>
      <c r="N11" s="203">
        <f t="shared" ca="1" si="1"/>
        <v>24210</v>
      </c>
      <c r="O11" s="203">
        <f t="shared" ca="1" si="1"/>
        <v>2780</v>
      </c>
      <c r="P11" s="203">
        <f t="shared" ca="1" si="1"/>
        <v>31230</v>
      </c>
      <c r="Q11" s="203">
        <f t="shared" ca="1" si="1"/>
        <v>5640</v>
      </c>
      <c r="R11" s="203">
        <f t="shared" ca="1" si="1"/>
        <v>0</v>
      </c>
      <c r="S11" s="203">
        <f t="shared" ca="1" si="1"/>
        <v>0</v>
      </c>
      <c r="T11" s="203">
        <f t="shared" ca="1" si="1"/>
        <v>0</v>
      </c>
      <c r="U11" s="203">
        <f t="shared" ca="1" si="3"/>
        <v>63860</v>
      </c>
      <c r="V11" s="204">
        <f t="shared" ca="1" si="4"/>
        <v>140780</v>
      </c>
      <c r="W11" s="205"/>
      <c r="X11" s="206"/>
      <c r="Y11" s="206"/>
    </row>
    <row r="12" spans="1:25" s="197" customFormat="1" ht="21.95" customHeight="1">
      <c r="A12" s="600"/>
      <c r="B12" s="201" t="str">
        <f>임금총괄!B13</f>
        <v>행정실9</v>
      </c>
      <c r="C12" s="202">
        <f t="shared" ca="1" si="0"/>
        <v>25110</v>
      </c>
      <c r="D12" s="202">
        <f t="shared" ca="1" si="0"/>
        <v>2890</v>
      </c>
      <c r="E12" s="203">
        <f t="shared" ca="1" si="0"/>
        <v>32400</v>
      </c>
      <c r="F12" s="203">
        <f ca="1">IF(OR($B12="",F$3=""),0,INDEX(INDIRECT(F$3),MATCH($B12,명부,0)))</f>
        <v>5850</v>
      </c>
      <c r="G12" s="203">
        <f t="shared" ca="1" si="0"/>
        <v>6220</v>
      </c>
      <c r="H12" s="203">
        <f t="shared" ca="1" si="0"/>
        <v>0</v>
      </c>
      <c r="I12" s="203">
        <f t="shared" ca="1" si="0"/>
        <v>0</v>
      </c>
      <c r="J12" s="203">
        <f t="shared" ca="1" si="0"/>
        <v>0</v>
      </c>
      <c r="K12" s="203">
        <f t="shared" ca="1" si="0"/>
        <v>7320</v>
      </c>
      <c r="L12" s="203">
        <f t="shared" ca="1" si="0"/>
        <v>0</v>
      </c>
      <c r="M12" s="203">
        <f t="shared" ca="1" si="2"/>
        <v>79790</v>
      </c>
      <c r="N12" s="203">
        <f t="shared" ca="1" si="1"/>
        <v>25110</v>
      </c>
      <c r="O12" s="203">
        <f t="shared" ca="1" si="1"/>
        <v>2890</v>
      </c>
      <c r="P12" s="203">
        <f t="shared" ca="1" si="1"/>
        <v>32400</v>
      </c>
      <c r="Q12" s="203">
        <f t="shared" ca="1" si="1"/>
        <v>5850</v>
      </c>
      <c r="R12" s="203">
        <f t="shared" ca="1" si="1"/>
        <v>0</v>
      </c>
      <c r="S12" s="203">
        <f t="shared" ca="1" si="1"/>
        <v>0</v>
      </c>
      <c r="T12" s="203">
        <f t="shared" ca="1" si="1"/>
        <v>0</v>
      </c>
      <c r="U12" s="203">
        <f t="shared" ca="1" si="3"/>
        <v>66250</v>
      </c>
      <c r="V12" s="204">
        <f t="shared" ca="1" si="4"/>
        <v>146040</v>
      </c>
      <c r="W12" s="205"/>
      <c r="X12" s="206"/>
      <c r="Y12" s="206"/>
    </row>
    <row r="13" spans="1:25" s="197" customFormat="1" ht="21.95" customHeight="1">
      <c r="A13" s="600"/>
      <c r="B13" s="201" t="str">
        <f>임금총괄!B14</f>
        <v>행정실10</v>
      </c>
      <c r="C13" s="202">
        <f t="shared" ca="1" si="0"/>
        <v>42060</v>
      </c>
      <c r="D13" s="202">
        <f t="shared" ca="1" si="0"/>
        <v>4840</v>
      </c>
      <c r="E13" s="203">
        <f t="shared" ca="1" si="0"/>
        <v>54270</v>
      </c>
      <c r="F13" s="203">
        <f t="shared" ca="1" si="0"/>
        <v>11770</v>
      </c>
      <c r="G13" s="203">
        <f t="shared" ca="1" si="0"/>
        <v>12510</v>
      </c>
      <c r="H13" s="203">
        <f t="shared" ca="1" si="0"/>
        <v>0</v>
      </c>
      <c r="I13" s="203">
        <f t="shared" ca="1" si="0"/>
        <v>0</v>
      </c>
      <c r="J13" s="203">
        <f t="shared" ca="1" si="0"/>
        <v>0</v>
      </c>
      <c r="K13" s="203">
        <f t="shared" ca="1" si="0"/>
        <v>14710</v>
      </c>
      <c r="L13" s="203">
        <f t="shared" ca="1" si="0"/>
        <v>0</v>
      </c>
      <c r="M13" s="203">
        <f t="shared" ca="1" si="2"/>
        <v>140160</v>
      </c>
      <c r="N13" s="203">
        <f t="shared" ca="1" si="1"/>
        <v>42060</v>
      </c>
      <c r="O13" s="203">
        <f t="shared" ca="1" si="1"/>
        <v>4840</v>
      </c>
      <c r="P13" s="203">
        <f t="shared" ca="1" si="1"/>
        <v>54270</v>
      </c>
      <c r="Q13" s="203">
        <f t="shared" ca="1" si="1"/>
        <v>11770</v>
      </c>
      <c r="R13" s="203">
        <f t="shared" ca="1" si="1"/>
        <v>0</v>
      </c>
      <c r="S13" s="203">
        <f t="shared" ca="1" si="1"/>
        <v>0</v>
      </c>
      <c r="T13" s="203">
        <f t="shared" ca="1" si="1"/>
        <v>0</v>
      </c>
      <c r="U13" s="203">
        <f t="shared" ca="1" si="3"/>
        <v>112940</v>
      </c>
      <c r="V13" s="204">
        <f t="shared" ca="1" si="4"/>
        <v>253100</v>
      </c>
      <c r="W13" s="205"/>
      <c r="X13" s="206"/>
      <c r="Y13" s="206"/>
    </row>
    <row r="14" spans="1:25" s="197" customFormat="1" ht="27" customHeight="1">
      <c r="A14" s="600"/>
      <c r="B14" s="201" t="str">
        <f>임금총괄!B15</f>
        <v>행정실11</v>
      </c>
      <c r="C14" s="202">
        <f t="shared" ca="1" si="0"/>
        <v>87170</v>
      </c>
      <c r="D14" s="202">
        <f ca="1">IF(OR($B14="",D$3=""),0,INDEX(INDIRECT(D$3),MATCH($B14,명부,0)))</f>
        <v>10040</v>
      </c>
      <c r="E14" s="203">
        <f t="shared" ca="1" si="0"/>
        <v>114340</v>
      </c>
      <c r="F14" s="203">
        <f t="shared" ca="1" si="0"/>
        <v>0</v>
      </c>
      <c r="G14" s="203">
        <f t="shared" ca="1" si="0"/>
        <v>0</v>
      </c>
      <c r="H14" s="203">
        <f t="shared" ca="1" si="0"/>
        <v>0</v>
      </c>
      <c r="I14" s="203">
        <f t="shared" ca="1" si="0"/>
        <v>0</v>
      </c>
      <c r="J14" s="203">
        <f t="shared" ca="1" si="0"/>
        <v>0</v>
      </c>
      <c r="K14" s="203">
        <f t="shared" ca="1" si="0"/>
        <v>25410</v>
      </c>
      <c r="L14" s="203">
        <f t="shared" ca="1" si="0"/>
        <v>0</v>
      </c>
      <c r="M14" s="203">
        <f t="shared" ca="1" si="2"/>
        <v>236960</v>
      </c>
      <c r="N14" s="203">
        <f t="shared" ca="1" si="1"/>
        <v>87170</v>
      </c>
      <c r="O14" s="203">
        <f t="shared" ca="1" si="1"/>
        <v>10040</v>
      </c>
      <c r="P14" s="203">
        <f t="shared" ca="1" si="1"/>
        <v>114340</v>
      </c>
      <c r="Q14" s="203">
        <f t="shared" ca="1" si="1"/>
        <v>0</v>
      </c>
      <c r="R14" s="203">
        <f t="shared" ca="1" si="1"/>
        <v>0</v>
      </c>
      <c r="S14" s="203">
        <f t="shared" ca="1" si="1"/>
        <v>0</v>
      </c>
      <c r="T14" s="203">
        <f t="shared" ca="1" si="1"/>
        <v>0</v>
      </c>
      <c r="U14" s="203">
        <f t="shared" ca="1" si="3"/>
        <v>211550</v>
      </c>
      <c r="V14" s="204">
        <f t="shared" ca="1" si="4"/>
        <v>448510</v>
      </c>
      <c r="W14" s="205"/>
      <c r="X14" s="206"/>
      <c r="Y14" s="206"/>
    </row>
    <row r="15" spans="1:25" s="197" customFormat="1" ht="21.75" customHeight="1">
      <c r="A15" s="600"/>
      <c r="B15" s="201" t="str">
        <f>임금총괄!B16</f>
        <v>행정실12</v>
      </c>
      <c r="C15" s="202">
        <f t="shared" ca="1" si="0"/>
        <v>0</v>
      </c>
      <c r="D15" s="202">
        <f t="shared" ca="1" si="0"/>
        <v>0</v>
      </c>
      <c r="E15" s="203">
        <f t="shared" ca="1" si="0"/>
        <v>0</v>
      </c>
      <c r="F15" s="203">
        <f t="shared" ca="1" si="0"/>
        <v>0</v>
      </c>
      <c r="G15" s="203">
        <f t="shared" ca="1" si="0"/>
        <v>4760</v>
      </c>
      <c r="H15" s="203">
        <f t="shared" ca="1" si="0"/>
        <v>0</v>
      </c>
      <c r="I15" s="203">
        <f t="shared" ca="1" si="0"/>
        <v>0</v>
      </c>
      <c r="J15" s="203">
        <f t="shared" ca="1" si="0"/>
        <v>0</v>
      </c>
      <c r="K15" s="203">
        <f t="shared" ca="1" si="0"/>
        <v>5600</v>
      </c>
      <c r="L15" s="203">
        <f t="shared" ca="1" si="0"/>
        <v>0</v>
      </c>
      <c r="M15" s="203">
        <f t="shared" ca="1" si="2"/>
        <v>10360</v>
      </c>
      <c r="N15" s="203">
        <f t="shared" ca="1" si="1"/>
        <v>0</v>
      </c>
      <c r="O15" s="203">
        <f t="shared" ca="1" si="1"/>
        <v>0</v>
      </c>
      <c r="P15" s="203">
        <f t="shared" ca="1" si="1"/>
        <v>0</v>
      </c>
      <c r="Q15" s="203">
        <f t="shared" ca="1" si="1"/>
        <v>0</v>
      </c>
      <c r="R15" s="203">
        <f t="shared" ca="1" si="1"/>
        <v>0</v>
      </c>
      <c r="S15" s="203">
        <f t="shared" ca="1" si="1"/>
        <v>0</v>
      </c>
      <c r="T15" s="203">
        <f t="shared" ca="1" si="1"/>
        <v>0</v>
      </c>
      <c r="U15" s="203">
        <f t="shared" ca="1" si="3"/>
        <v>0</v>
      </c>
      <c r="V15" s="204">
        <f t="shared" ca="1" si="4"/>
        <v>10360</v>
      </c>
      <c r="W15" s="205"/>
      <c r="X15" s="206">
        <f ca="1">N15+R15</f>
        <v>0</v>
      </c>
      <c r="Y15" s="195"/>
    </row>
    <row r="16" spans="1:25" s="197" customFormat="1" ht="21.95" customHeight="1">
      <c r="A16" s="600"/>
      <c r="B16" s="208"/>
      <c r="C16" s="203">
        <f ca="1">IF(OR($B16="",C$3=""),0,INDEX(INDIRECT(C$3),MATCH($B16,명부,0)))</f>
        <v>0</v>
      </c>
      <c r="D16" s="203">
        <f t="shared" ca="1" si="0"/>
        <v>0</v>
      </c>
      <c r="E16" s="203">
        <f t="shared" ca="1" si="0"/>
        <v>0</v>
      </c>
      <c r="F16" s="203">
        <f t="shared" ca="1" si="0"/>
        <v>0</v>
      </c>
      <c r="G16" s="203">
        <f t="shared" ca="1" si="0"/>
        <v>0</v>
      </c>
      <c r="H16" s="203">
        <f t="shared" ca="1" si="0"/>
        <v>0</v>
      </c>
      <c r="I16" s="203">
        <f t="shared" ca="1" si="0"/>
        <v>0</v>
      </c>
      <c r="J16" s="203">
        <f t="shared" ca="1" si="0"/>
        <v>0</v>
      </c>
      <c r="K16" s="203">
        <f t="shared" ca="1" si="0"/>
        <v>0</v>
      </c>
      <c r="L16" s="203">
        <f t="shared" ca="1" si="0"/>
        <v>0</v>
      </c>
      <c r="M16" s="203">
        <f t="shared" ca="1" si="2"/>
        <v>0</v>
      </c>
      <c r="N16" s="203">
        <f t="shared" ca="1" si="1"/>
        <v>0</v>
      </c>
      <c r="O16" s="203">
        <f t="shared" ca="1" si="1"/>
        <v>0</v>
      </c>
      <c r="P16" s="203">
        <f t="shared" ca="1" si="1"/>
        <v>0</v>
      </c>
      <c r="Q16" s="203">
        <f t="shared" ca="1" si="1"/>
        <v>0</v>
      </c>
      <c r="R16" s="203">
        <f t="shared" ca="1" si="1"/>
        <v>0</v>
      </c>
      <c r="S16" s="203">
        <f t="shared" ca="1" si="1"/>
        <v>0</v>
      </c>
      <c r="T16" s="203">
        <f t="shared" ca="1" si="1"/>
        <v>0</v>
      </c>
      <c r="U16" s="203">
        <f t="shared" ca="1" si="3"/>
        <v>0</v>
      </c>
      <c r="V16" s="204">
        <f t="shared" ca="1" si="4"/>
        <v>0</v>
      </c>
      <c r="W16" s="205"/>
      <c r="X16" s="195"/>
      <c r="Y16" s="195"/>
    </row>
    <row r="17" spans="1:25" s="197" customFormat="1" ht="21.95" customHeight="1">
      <c r="A17" s="600"/>
      <c r="B17" s="209" t="s">
        <v>161</v>
      </c>
      <c r="C17" s="210">
        <f t="shared" ref="C17:L17" ca="1" si="8">SUM(C4:C16)</f>
        <v>657230</v>
      </c>
      <c r="D17" s="210">
        <f t="shared" ca="1" si="8"/>
        <v>75660</v>
      </c>
      <c r="E17" s="210">
        <f t="shared" ca="1" si="8"/>
        <v>788440</v>
      </c>
      <c r="F17" s="210">
        <f t="shared" ca="1" si="8"/>
        <v>134700</v>
      </c>
      <c r="G17" s="210">
        <f t="shared" ca="1" si="8"/>
        <v>147900</v>
      </c>
      <c r="H17" s="210">
        <f t="shared" ca="1" si="8"/>
        <v>0</v>
      </c>
      <c r="I17" s="210">
        <f t="shared" ca="1" si="8"/>
        <v>0</v>
      </c>
      <c r="J17" s="210">
        <f t="shared" ca="1" si="8"/>
        <v>0</v>
      </c>
      <c r="K17" s="210">
        <f t="shared" ca="1" si="8"/>
        <v>199420</v>
      </c>
      <c r="L17" s="210">
        <f t="shared" ca="1" si="8"/>
        <v>0</v>
      </c>
      <c r="M17" s="210">
        <f t="shared" ca="1" si="2"/>
        <v>2003350</v>
      </c>
      <c r="N17" s="210">
        <f t="shared" ref="N17:T17" ca="1" si="9">SUM(N4:N16)</f>
        <v>657230</v>
      </c>
      <c r="O17" s="210">
        <f t="shared" ca="1" si="9"/>
        <v>75660</v>
      </c>
      <c r="P17" s="210">
        <f t="shared" ca="1" si="9"/>
        <v>788640</v>
      </c>
      <c r="Q17" s="210">
        <f t="shared" ca="1" si="9"/>
        <v>134700</v>
      </c>
      <c r="R17" s="210">
        <f t="shared" ca="1" si="9"/>
        <v>0</v>
      </c>
      <c r="S17" s="210">
        <f t="shared" ca="1" si="9"/>
        <v>0</v>
      </c>
      <c r="T17" s="210">
        <f t="shared" ca="1" si="9"/>
        <v>0</v>
      </c>
      <c r="U17" s="210">
        <f t="shared" ca="1" si="3"/>
        <v>1656230</v>
      </c>
      <c r="V17" s="211">
        <f t="shared" ca="1" si="4"/>
        <v>3659580</v>
      </c>
      <c r="W17" s="205"/>
      <c r="X17" s="195"/>
      <c r="Y17" s="195"/>
    </row>
    <row r="18" spans="1:25" s="197" customFormat="1" ht="21.95" customHeight="1">
      <c r="A18" s="212" t="s">
        <v>162</v>
      </c>
      <c r="B18" s="208"/>
      <c r="C18" s="203">
        <f t="shared" ca="1" si="0"/>
        <v>0</v>
      </c>
      <c r="D18" s="203">
        <f t="shared" ca="1" si="0"/>
        <v>0</v>
      </c>
      <c r="E18" s="203">
        <f t="shared" ca="1" si="0"/>
        <v>0</v>
      </c>
      <c r="F18" s="203">
        <f t="shared" ca="1" si="0"/>
        <v>0</v>
      </c>
      <c r="G18" s="203">
        <f t="shared" ca="1" si="0"/>
        <v>0</v>
      </c>
      <c r="H18" s="203">
        <f t="shared" ca="1" si="0"/>
        <v>0</v>
      </c>
      <c r="I18" s="203">
        <f t="shared" ca="1" si="0"/>
        <v>0</v>
      </c>
      <c r="J18" s="203">
        <f t="shared" ca="1" si="0"/>
        <v>0</v>
      </c>
      <c r="K18" s="203">
        <f t="shared" ca="1" si="0"/>
        <v>0</v>
      </c>
      <c r="L18" s="203">
        <f t="shared" ca="1" si="0"/>
        <v>0</v>
      </c>
      <c r="M18" s="203">
        <f t="shared" ca="1" si="2"/>
        <v>0</v>
      </c>
      <c r="N18" s="203">
        <v>0</v>
      </c>
      <c r="O18" s="203">
        <v>0</v>
      </c>
      <c r="P18" s="203">
        <v>0</v>
      </c>
      <c r="Q18" s="203">
        <v>0</v>
      </c>
      <c r="R18" s="203">
        <v>0</v>
      </c>
      <c r="S18" s="203">
        <v>0</v>
      </c>
      <c r="T18" s="203">
        <v>0</v>
      </c>
      <c r="U18" s="203">
        <f t="shared" si="3"/>
        <v>0</v>
      </c>
      <c r="V18" s="204">
        <f t="shared" ca="1" si="4"/>
        <v>0</v>
      </c>
      <c r="W18" s="205"/>
      <c r="X18" s="195"/>
      <c r="Y18" s="195"/>
    </row>
    <row r="19" spans="1:25" s="197" customFormat="1" ht="24.75" customHeight="1" thickBot="1">
      <c r="A19" s="601" t="s">
        <v>163</v>
      </c>
      <c r="B19" s="602"/>
      <c r="C19" s="213">
        <f ca="1">C17+C18</f>
        <v>657230</v>
      </c>
      <c r="D19" s="213">
        <f t="shared" ref="D19:V19" ca="1" si="10">D17+D18</f>
        <v>75660</v>
      </c>
      <c r="E19" s="213">
        <f t="shared" ca="1" si="10"/>
        <v>788440</v>
      </c>
      <c r="F19" s="213">
        <f t="shared" ca="1" si="10"/>
        <v>134700</v>
      </c>
      <c r="G19" s="213">
        <f t="shared" ca="1" si="10"/>
        <v>147900</v>
      </c>
      <c r="H19" s="213">
        <f t="shared" ca="1" si="10"/>
        <v>0</v>
      </c>
      <c r="I19" s="213">
        <f t="shared" ca="1" si="10"/>
        <v>0</v>
      </c>
      <c r="J19" s="213">
        <f t="shared" ca="1" si="10"/>
        <v>0</v>
      </c>
      <c r="K19" s="213">
        <f t="shared" ca="1" si="10"/>
        <v>199420</v>
      </c>
      <c r="L19" s="213">
        <f t="shared" ca="1" si="10"/>
        <v>0</v>
      </c>
      <c r="M19" s="213">
        <f t="shared" ca="1" si="10"/>
        <v>2003350</v>
      </c>
      <c r="N19" s="213">
        <f t="shared" ca="1" si="10"/>
        <v>657230</v>
      </c>
      <c r="O19" s="213">
        <f t="shared" ca="1" si="10"/>
        <v>75660</v>
      </c>
      <c r="P19" s="213">
        <f t="shared" ca="1" si="10"/>
        <v>788640</v>
      </c>
      <c r="Q19" s="213">
        <f t="shared" ca="1" si="10"/>
        <v>134700</v>
      </c>
      <c r="R19" s="213">
        <f t="shared" ca="1" si="10"/>
        <v>0</v>
      </c>
      <c r="S19" s="213">
        <f ca="1">S17+S18</f>
        <v>0</v>
      </c>
      <c r="T19" s="213">
        <f t="shared" ca="1" si="10"/>
        <v>0</v>
      </c>
      <c r="U19" s="213">
        <f t="shared" ca="1" si="10"/>
        <v>1656230</v>
      </c>
      <c r="V19" s="214">
        <f t="shared" ca="1" si="10"/>
        <v>3659580</v>
      </c>
      <c r="W19" s="205"/>
      <c r="X19" s="195"/>
      <c r="Y19" s="195"/>
    </row>
    <row r="20" spans="1:25" s="197" customFormat="1">
      <c r="O20" s="215"/>
      <c r="T20" s="195"/>
      <c r="X20" s="206"/>
      <c r="Y20" s="195"/>
    </row>
    <row r="21" spans="1:25" s="197" customFormat="1" ht="30.75" customHeight="1">
      <c r="C21" s="216" t="s">
        <v>164</v>
      </c>
      <c r="D21" s="216" t="s">
        <v>158</v>
      </c>
      <c r="E21" s="216" t="s">
        <v>165</v>
      </c>
      <c r="F21" s="216" t="s">
        <v>166</v>
      </c>
      <c r="G21" s="216" t="s">
        <v>163</v>
      </c>
      <c r="H21" s="217"/>
      <c r="I21" s="217"/>
      <c r="J21" s="217"/>
      <c r="K21" s="218"/>
      <c r="L21" s="218"/>
      <c r="M21" s="218"/>
      <c r="N21" s="218"/>
      <c r="O21" s="218"/>
      <c r="P21" s="218"/>
      <c r="Q21" s="218"/>
      <c r="R21" s="218"/>
      <c r="S21" s="218"/>
      <c r="T21" s="218"/>
      <c r="U21" s="219"/>
      <c r="V21" s="220"/>
      <c r="X21" s="195"/>
      <c r="Y21" s="195"/>
    </row>
    <row r="22" spans="1:25" s="197" customFormat="1" ht="28.5" customHeight="1">
      <c r="C22" s="221">
        <f ca="1">C19+D19+H19+I19+N19+O19+R19+S19</f>
        <v>1465780</v>
      </c>
      <c r="D22" s="221">
        <f ca="1">P19+E19</f>
        <v>1577080</v>
      </c>
      <c r="E22" s="221">
        <f ca="1">Q19+G19+F19+J19+T19</f>
        <v>417300</v>
      </c>
      <c r="F22" s="221">
        <f ca="1">L19+K19</f>
        <v>199420</v>
      </c>
      <c r="G22" s="221">
        <f ca="1">SUM(C22:F22)</f>
        <v>3659580</v>
      </c>
      <c r="H22" s="217"/>
      <c r="I22" s="217"/>
      <c r="J22" s="217"/>
      <c r="K22" s="218"/>
      <c r="L22" s="218"/>
      <c r="M22" s="218"/>
      <c r="N22" s="218"/>
      <c r="O22" s="218"/>
      <c r="P22" s="218"/>
      <c r="Q22" s="218"/>
      <c r="R22" s="218"/>
      <c r="S22" s="218"/>
      <c r="T22" s="218"/>
      <c r="U22" s="219"/>
      <c r="V22" s="220"/>
    </row>
    <row r="23" spans="1:25">
      <c r="C23" s="109"/>
      <c r="D23" s="3"/>
      <c r="E23" s="172"/>
      <c r="F23" s="222"/>
      <c r="G23" s="219"/>
      <c r="M23" s="205"/>
      <c r="V23" s="206"/>
    </row>
    <row r="24" spans="1:25">
      <c r="C24" s="223"/>
      <c r="D24" s="223"/>
      <c r="E24" s="224"/>
      <c r="F24" s="224"/>
      <c r="G24" s="225">
        <f ca="1">C22+D22+E24+F24</f>
        <v>3042860</v>
      </c>
      <c r="H24" s="226"/>
      <c r="V24" s="206"/>
    </row>
    <row r="25" spans="1:25">
      <c r="C25" s="226"/>
      <c r="D25" s="226"/>
      <c r="E25" s="227"/>
      <c r="F25" s="227"/>
      <c r="G25" s="228"/>
      <c r="H25" s="226"/>
      <c r="M25" s="205"/>
      <c r="U25" s="206"/>
      <c r="V25" s="206">
        <f ca="1">V19-V23</f>
        <v>3659580</v>
      </c>
    </row>
    <row r="26" spans="1:25">
      <c r="C26" s="226"/>
      <c r="D26" s="229"/>
      <c r="E26" s="226"/>
      <c r="F26" s="226"/>
      <c r="G26" s="226"/>
      <c r="H26" s="226"/>
    </row>
    <row r="27" spans="1:25">
      <c r="C27" s="226"/>
      <c r="D27" s="226"/>
      <c r="E27" s="226"/>
      <c r="F27" s="226"/>
      <c r="G27" s="226"/>
      <c r="H27" s="226"/>
    </row>
    <row r="28" spans="1:25">
      <c r="C28" s="226"/>
      <c r="D28" s="226"/>
      <c r="E28" s="226"/>
      <c r="F28" s="226"/>
      <c r="G28" s="226"/>
      <c r="H28" s="226"/>
    </row>
    <row r="29" spans="1:25">
      <c r="C29" s="226"/>
      <c r="D29" s="226"/>
      <c r="E29" s="226"/>
      <c r="F29" s="226"/>
      <c r="G29" s="226"/>
      <c r="H29" s="226"/>
    </row>
  </sheetData>
  <mergeCells count="7">
    <mergeCell ref="V2:V3"/>
    <mergeCell ref="A4:A17"/>
    <mergeCell ref="A19:B19"/>
    <mergeCell ref="A2:A3"/>
    <mergeCell ref="B2:B3"/>
    <mergeCell ref="C2:M2"/>
    <mergeCell ref="N2:U2"/>
  </mergeCells>
  <phoneticPr fontId="3" type="noConversion"/>
  <printOptions horizontalCentered="1"/>
  <pageMargins left="0.76" right="0.28000000000000003" top="1.04" bottom="0.47244094488188981" header="0.75" footer="0.31496062992125984"/>
  <pageSetup paperSize="9" scale="6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00FF"/>
    <pageSetUpPr fitToPage="1"/>
  </sheetPr>
  <dimension ref="A1:J52"/>
  <sheetViews>
    <sheetView showGridLines="0" showZeros="0" view="pageBreakPreview" zoomScale="90" zoomScaleNormal="85" zoomScaleSheetLayoutView="90" workbookViewId="0">
      <selection activeCell="J47" sqref="J47"/>
    </sheetView>
  </sheetViews>
  <sheetFormatPr defaultRowHeight="14.25"/>
  <cols>
    <col min="1" max="1" width="8.5546875" style="366" customWidth="1"/>
    <col min="2" max="2" width="16.6640625" customWidth="1"/>
    <col min="3" max="3" width="6.88671875" customWidth="1"/>
    <col min="4" max="4" width="20.44140625" customWidth="1"/>
    <col min="5" max="5" width="13.5546875" customWidth="1"/>
    <col min="6" max="6" width="22.21875" customWidth="1"/>
    <col min="7" max="7" width="14.33203125" customWidth="1"/>
    <col min="8" max="8" width="8.5546875" style="366" customWidth="1"/>
    <col min="9" max="9" width="4.6640625" style="366" customWidth="1"/>
    <col min="10" max="10" width="13.5546875" style="366" customWidth="1"/>
    <col min="11" max="240" width="8.88671875" style="366"/>
    <col min="241" max="241" width="8.5546875" style="366" customWidth="1"/>
    <col min="242" max="242" width="6.33203125" style="366" customWidth="1"/>
    <col min="243" max="243" width="11.33203125" style="366" customWidth="1"/>
    <col min="244" max="244" width="8" style="366" customWidth="1"/>
    <col min="245" max="245" width="11.6640625" style="366" customWidth="1"/>
    <col min="246" max="246" width="4.21875" style="366" customWidth="1"/>
    <col min="247" max="247" width="9.6640625" style="366" customWidth="1"/>
    <col min="248" max="248" width="11.5546875" style="366" customWidth="1"/>
    <col min="249" max="249" width="8.5546875" style="366" customWidth="1"/>
    <col min="250" max="250" width="6.33203125" style="366" customWidth="1"/>
    <col min="251" max="251" width="11.33203125" style="366" customWidth="1"/>
    <col min="252" max="252" width="8" style="366" customWidth="1"/>
    <col min="253" max="253" width="11.6640625" style="366" customWidth="1"/>
    <col min="254" max="254" width="4.21875" style="366" customWidth="1"/>
    <col min="255" max="255" width="9.6640625" style="366" customWidth="1"/>
    <col min="256" max="256" width="11.5546875" style="366" customWidth="1"/>
    <col min="257" max="496" width="8.88671875" style="366"/>
    <col min="497" max="497" width="8.5546875" style="366" customWidth="1"/>
    <col min="498" max="498" width="6.33203125" style="366" customWidth="1"/>
    <col min="499" max="499" width="11.33203125" style="366" customWidth="1"/>
    <col min="500" max="500" width="8" style="366" customWidth="1"/>
    <col min="501" max="501" width="11.6640625" style="366" customWidth="1"/>
    <col min="502" max="502" width="4.21875" style="366" customWidth="1"/>
    <col min="503" max="503" width="9.6640625" style="366" customWidth="1"/>
    <col min="504" max="504" width="11.5546875" style="366" customWidth="1"/>
    <col min="505" max="505" width="8.5546875" style="366" customWidth="1"/>
    <col min="506" max="506" width="6.33203125" style="366" customWidth="1"/>
    <col min="507" max="507" width="11.33203125" style="366" customWidth="1"/>
    <col min="508" max="508" width="8" style="366" customWidth="1"/>
    <col min="509" max="509" width="11.6640625" style="366" customWidth="1"/>
    <col min="510" max="510" width="4.21875" style="366" customWidth="1"/>
    <col min="511" max="511" width="9.6640625" style="366" customWidth="1"/>
    <col min="512" max="512" width="11.5546875" style="366" customWidth="1"/>
    <col min="513" max="752" width="8.88671875" style="366"/>
    <col min="753" max="753" width="8.5546875" style="366" customWidth="1"/>
    <col min="754" max="754" width="6.33203125" style="366" customWidth="1"/>
    <col min="755" max="755" width="11.33203125" style="366" customWidth="1"/>
    <col min="756" max="756" width="8" style="366" customWidth="1"/>
    <col min="757" max="757" width="11.6640625" style="366" customWidth="1"/>
    <col min="758" max="758" width="4.21875" style="366" customWidth="1"/>
    <col min="759" max="759" width="9.6640625" style="366" customWidth="1"/>
    <col min="760" max="760" width="11.5546875" style="366" customWidth="1"/>
    <col min="761" max="761" width="8.5546875" style="366" customWidth="1"/>
    <col min="762" max="762" width="6.33203125" style="366" customWidth="1"/>
    <col min="763" max="763" width="11.33203125" style="366" customWidth="1"/>
    <col min="764" max="764" width="8" style="366" customWidth="1"/>
    <col min="765" max="765" width="11.6640625" style="366" customWidth="1"/>
    <col min="766" max="766" width="4.21875" style="366" customWidth="1"/>
    <col min="767" max="767" width="9.6640625" style="366" customWidth="1"/>
    <col min="768" max="768" width="11.5546875" style="366" customWidth="1"/>
    <col min="769" max="1008" width="8.88671875" style="366"/>
    <col min="1009" max="1009" width="8.5546875" style="366" customWidth="1"/>
    <col min="1010" max="1010" width="6.33203125" style="366" customWidth="1"/>
    <col min="1011" max="1011" width="11.33203125" style="366" customWidth="1"/>
    <col min="1012" max="1012" width="8" style="366" customWidth="1"/>
    <col min="1013" max="1013" width="11.6640625" style="366" customWidth="1"/>
    <col min="1014" max="1014" width="4.21875" style="366" customWidth="1"/>
    <col min="1015" max="1015" width="9.6640625" style="366" customWidth="1"/>
    <col min="1016" max="1016" width="11.5546875" style="366" customWidth="1"/>
    <col min="1017" max="1017" width="8.5546875" style="366" customWidth="1"/>
    <col min="1018" max="1018" width="6.33203125" style="366" customWidth="1"/>
    <col min="1019" max="1019" width="11.33203125" style="366" customWidth="1"/>
    <col min="1020" max="1020" width="8" style="366" customWidth="1"/>
    <col min="1021" max="1021" width="11.6640625" style="366" customWidth="1"/>
    <col min="1022" max="1022" width="4.21875" style="366" customWidth="1"/>
    <col min="1023" max="1023" width="9.6640625" style="366" customWidth="1"/>
    <col min="1024" max="1024" width="11.5546875" style="366" customWidth="1"/>
    <col min="1025" max="1264" width="8.88671875" style="366"/>
    <col min="1265" max="1265" width="8.5546875" style="366" customWidth="1"/>
    <col min="1266" max="1266" width="6.33203125" style="366" customWidth="1"/>
    <col min="1267" max="1267" width="11.33203125" style="366" customWidth="1"/>
    <col min="1268" max="1268" width="8" style="366" customWidth="1"/>
    <col min="1269" max="1269" width="11.6640625" style="366" customWidth="1"/>
    <col min="1270" max="1270" width="4.21875" style="366" customWidth="1"/>
    <col min="1271" max="1271" width="9.6640625" style="366" customWidth="1"/>
    <col min="1272" max="1272" width="11.5546875" style="366" customWidth="1"/>
    <col min="1273" max="1273" width="8.5546875" style="366" customWidth="1"/>
    <col min="1274" max="1274" width="6.33203125" style="366" customWidth="1"/>
    <col min="1275" max="1275" width="11.33203125" style="366" customWidth="1"/>
    <col min="1276" max="1276" width="8" style="366" customWidth="1"/>
    <col min="1277" max="1277" width="11.6640625" style="366" customWidth="1"/>
    <col min="1278" max="1278" width="4.21875" style="366" customWidth="1"/>
    <col min="1279" max="1279" width="9.6640625" style="366" customWidth="1"/>
    <col min="1280" max="1280" width="11.5546875" style="366" customWidth="1"/>
    <col min="1281" max="1520" width="8.88671875" style="366"/>
    <col min="1521" max="1521" width="8.5546875" style="366" customWidth="1"/>
    <col min="1522" max="1522" width="6.33203125" style="366" customWidth="1"/>
    <col min="1523" max="1523" width="11.33203125" style="366" customWidth="1"/>
    <col min="1524" max="1524" width="8" style="366" customWidth="1"/>
    <col min="1525" max="1525" width="11.6640625" style="366" customWidth="1"/>
    <col min="1526" max="1526" width="4.21875" style="366" customWidth="1"/>
    <col min="1527" max="1527" width="9.6640625" style="366" customWidth="1"/>
    <col min="1528" max="1528" width="11.5546875" style="366" customWidth="1"/>
    <col min="1529" max="1529" width="8.5546875" style="366" customWidth="1"/>
    <col min="1530" max="1530" width="6.33203125" style="366" customWidth="1"/>
    <col min="1531" max="1531" width="11.33203125" style="366" customWidth="1"/>
    <col min="1532" max="1532" width="8" style="366" customWidth="1"/>
    <col min="1533" max="1533" width="11.6640625" style="366" customWidth="1"/>
    <col min="1534" max="1534" width="4.21875" style="366" customWidth="1"/>
    <col min="1535" max="1535" width="9.6640625" style="366" customWidth="1"/>
    <col min="1536" max="1536" width="11.5546875" style="366" customWidth="1"/>
    <col min="1537" max="1776" width="8.88671875" style="366"/>
    <col min="1777" max="1777" width="8.5546875" style="366" customWidth="1"/>
    <col min="1778" max="1778" width="6.33203125" style="366" customWidth="1"/>
    <col min="1779" max="1779" width="11.33203125" style="366" customWidth="1"/>
    <col min="1780" max="1780" width="8" style="366" customWidth="1"/>
    <col min="1781" max="1781" width="11.6640625" style="366" customWidth="1"/>
    <col min="1782" max="1782" width="4.21875" style="366" customWidth="1"/>
    <col min="1783" max="1783" width="9.6640625" style="366" customWidth="1"/>
    <col min="1784" max="1784" width="11.5546875" style="366" customWidth="1"/>
    <col min="1785" max="1785" width="8.5546875" style="366" customWidth="1"/>
    <col min="1786" max="1786" width="6.33203125" style="366" customWidth="1"/>
    <col min="1787" max="1787" width="11.33203125" style="366" customWidth="1"/>
    <col min="1788" max="1788" width="8" style="366" customWidth="1"/>
    <col min="1789" max="1789" width="11.6640625" style="366" customWidth="1"/>
    <col min="1790" max="1790" width="4.21875" style="366" customWidth="1"/>
    <col min="1791" max="1791" width="9.6640625" style="366" customWidth="1"/>
    <col min="1792" max="1792" width="11.5546875" style="366" customWidth="1"/>
    <col min="1793" max="2032" width="8.88671875" style="366"/>
    <col min="2033" max="2033" width="8.5546875" style="366" customWidth="1"/>
    <col min="2034" max="2034" width="6.33203125" style="366" customWidth="1"/>
    <col min="2035" max="2035" width="11.33203125" style="366" customWidth="1"/>
    <col min="2036" max="2036" width="8" style="366" customWidth="1"/>
    <col min="2037" max="2037" width="11.6640625" style="366" customWidth="1"/>
    <col min="2038" max="2038" width="4.21875" style="366" customWidth="1"/>
    <col min="2039" max="2039" width="9.6640625" style="366" customWidth="1"/>
    <col min="2040" max="2040" width="11.5546875" style="366" customWidth="1"/>
    <col min="2041" max="2041" width="8.5546875" style="366" customWidth="1"/>
    <col min="2042" max="2042" width="6.33203125" style="366" customWidth="1"/>
    <col min="2043" max="2043" width="11.33203125" style="366" customWidth="1"/>
    <col min="2044" max="2044" width="8" style="366" customWidth="1"/>
    <col min="2045" max="2045" width="11.6640625" style="366" customWidth="1"/>
    <col min="2046" max="2046" width="4.21875" style="366" customWidth="1"/>
    <col min="2047" max="2047" width="9.6640625" style="366" customWidth="1"/>
    <col min="2048" max="2048" width="11.5546875" style="366" customWidth="1"/>
    <col min="2049" max="2288" width="8.88671875" style="366"/>
    <col min="2289" max="2289" width="8.5546875" style="366" customWidth="1"/>
    <col min="2290" max="2290" width="6.33203125" style="366" customWidth="1"/>
    <col min="2291" max="2291" width="11.33203125" style="366" customWidth="1"/>
    <col min="2292" max="2292" width="8" style="366" customWidth="1"/>
    <col min="2293" max="2293" width="11.6640625" style="366" customWidth="1"/>
    <col min="2294" max="2294" width="4.21875" style="366" customWidth="1"/>
    <col min="2295" max="2295" width="9.6640625" style="366" customWidth="1"/>
    <col min="2296" max="2296" width="11.5546875" style="366" customWidth="1"/>
    <col min="2297" max="2297" width="8.5546875" style="366" customWidth="1"/>
    <col min="2298" max="2298" width="6.33203125" style="366" customWidth="1"/>
    <col min="2299" max="2299" width="11.33203125" style="366" customWidth="1"/>
    <col min="2300" max="2300" width="8" style="366" customWidth="1"/>
    <col min="2301" max="2301" width="11.6640625" style="366" customWidth="1"/>
    <col min="2302" max="2302" width="4.21875" style="366" customWidth="1"/>
    <col min="2303" max="2303" width="9.6640625" style="366" customWidth="1"/>
    <col min="2304" max="2304" width="11.5546875" style="366" customWidth="1"/>
    <col min="2305" max="2544" width="8.88671875" style="366"/>
    <col min="2545" max="2545" width="8.5546875" style="366" customWidth="1"/>
    <col min="2546" max="2546" width="6.33203125" style="366" customWidth="1"/>
    <col min="2547" max="2547" width="11.33203125" style="366" customWidth="1"/>
    <col min="2548" max="2548" width="8" style="366" customWidth="1"/>
    <col min="2549" max="2549" width="11.6640625" style="366" customWidth="1"/>
    <col min="2550" max="2550" width="4.21875" style="366" customWidth="1"/>
    <col min="2551" max="2551" width="9.6640625" style="366" customWidth="1"/>
    <col min="2552" max="2552" width="11.5546875" style="366" customWidth="1"/>
    <col min="2553" max="2553" width="8.5546875" style="366" customWidth="1"/>
    <col min="2554" max="2554" width="6.33203125" style="366" customWidth="1"/>
    <col min="2555" max="2555" width="11.33203125" style="366" customWidth="1"/>
    <col min="2556" max="2556" width="8" style="366" customWidth="1"/>
    <col min="2557" max="2557" width="11.6640625" style="366" customWidth="1"/>
    <col min="2558" max="2558" width="4.21875" style="366" customWidth="1"/>
    <col min="2559" max="2559" width="9.6640625" style="366" customWidth="1"/>
    <col min="2560" max="2560" width="11.5546875" style="366" customWidth="1"/>
    <col min="2561" max="2800" width="8.88671875" style="366"/>
    <col min="2801" max="2801" width="8.5546875" style="366" customWidth="1"/>
    <col min="2802" max="2802" width="6.33203125" style="366" customWidth="1"/>
    <col min="2803" max="2803" width="11.33203125" style="366" customWidth="1"/>
    <col min="2804" max="2804" width="8" style="366" customWidth="1"/>
    <col min="2805" max="2805" width="11.6640625" style="366" customWidth="1"/>
    <col min="2806" max="2806" width="4.21875" style="366" customWidth="1"/>
    <col min="2807" max="2807" width="9.6640625" style="366" customWidth="1"/>
    <col min="2808" max="2808" width="11.5546875" style="366" customWidth="1"/>
    <col min="2809" max="2809" width="8.5546875" style="366" customWidth="1"/>
    <col min="2810" max="2810" width="6.33203125" style="366" customWidth="1"/>
    <col min="2811" max="2811" width="11.33203125" style="366" customWidth="1"/>
    <col min="2812" max="2812" width="8" style="366" customWidth="1"/>
    <col min="2813" max="2813" width="11.6640625" style="366" customWidth="1"/>
    <col min="2814" max="2814" width="4.21875" style="366" customWidth="1"/>
    <col min="2815" max="2815" width="9.6640625" style="366" customWidth="1"/>
    <col min="2816" max="2816" width="11.5546875" style="366" customWidth="1"/>
    <col min="2817" max="3056" width="8.88671875" style="366"/>
    <col min="3057" max="3057" width="8.5546875" style="366" customWidth="1"/>
    <col min="3058" max="3058" width="6.33203125" style="366" customWidth="1"/>
    <col min="3059" max="3059" width="11.33203125" style="366" customWidth="1"/>
    <col min="3060" max="3060" width="8" style="366" customWidth="1"/>
    <col min="3061" max="3061" width="11.6640625" style="366" customWidth="1"/>
    <col min="3062" max="3062" width="4.21875" style="366" customWidth="1"/>
    <col min="3063" max="3063" width="9.6640625" style="366" customWidth="1"/>
    <col min="3064" max="3064" width="11.5546875" style="366" customWidth="1"/>
    <col min="3065" max="3065" width="8.5546875" style="366" customWidth="1"/>
    <col min="3066" max="3066" width="6.33203125" style="366" customWidth="1"/>
    <col min="3067" max="3067" width="11.33203125" style="366" customWidth="1"/>
    <col min="3068" max="3068" width="8" style="366" customWidth="1"/>
    <col min="3069" max="3069" width="11.6640625" style="366" customWidth="1"/>
    <col min="3070" max="3070" width="4.21875" style="366" customWidth="1"/>
    <col min="3071" max="3071" width="9.6640625" style="366" customWidth="1"/>
    <col min="3072" max="3072" width="11.5546875" style="366" customWidth="1"/>
    <col min="3073" max="3312" width="8.88671875" style="366"/>
    <col min="3313" max="3313" width="8.5546875" style="366" customWidth="1"/>
    <col min="3314" max="3314" width="6.33203125" style="366" customWidth="1"/>
    <col min="3315" max="3315" width="11.33203125" style="366" customWidth="1"/>
    <col min="3316" max="3316" width="8" style="366" customWidth="1"/>
    <col min="3317" max="3317" width="11.6640625" style="366" customWidth="1"/>
    <col min="3318" max="3318" width="4.21875" style="366" customWidth="1"/>
    <col min="3319" max="3319" width="9.6640625" style="366" customWidth="1"/>
    <col min="3320" max="3320" width="11.5546875" style="366" customWidth="1"/>
    <col min="3321" max="3321" width="8.5546875" style="366" customWidth="1"/>
    <col min="3322" max="3322" width="6.33203125" style="366" customWidth="1"/>
    <col min="3323" max="3323" width="11.33203125" style="366" customWidth="1"/>
    <col min="3324" max="3324" width="8" style="366" customWidth="1"/>
    <col min="3325" max="3325" width="11.6640625" style="366" customWidth="1"/>
    <col min="3326" max="3326" width="4.21875" style="366" customWidth="1"/>
    <col min="3327" max="3327" width="9.6640625" style="366" customWidth="1"/>
    <col min="3328" max="3328" width="11.5546875" style="366" customWidth="1"/>
    <col min="3329" max="3568" width="8.88671875" style="366"/>
    <col min="3569" max="3569" width="8.5546875" style="366" customWidth="1"/>
    <col min="3570" max="3570" width="6.33203125" style="366" customWidth="1"/>
    <col min="3571" max="3571" width="11.33203125" style="366" customWidth="1"/>
    <col min="3572" max="3572" width="8" style="366" customWidth="1"/>
    <col min="3573" max="3573" width="11.6640625" style="366" customWidth="1"/>
    <col min="3574" max="3574" width="4.21875" style="366" customWidth="1"/>
    <col min="3575" max="3575" width="9.6640625" style="366" customWidth="1"/>
    <col min="3576" max="3576" width="11.5546875" style="366" customWidth="1"/>
    <col min="3577" max="3577" width="8.5546875" style="366" customWidth="1"/>
    <col min="3578" max="3578" width="6.33203125" style="366" customWidth="1"/>
    <col min="3579" max="3579" width="11.33203125" style="366" customWidth="1"/>
    <col min="3580" max="3580" width="8" style="366" customWidth="1"/>
    <col min="3581" max="3581" width="11.6640625" style="366" customWidth="1"/>
    <col min="3582" max="3582" width="4.21875" style="366" customWidth="1"/>
    <col min="3583" max="3583" width="9.6640625" style="366" customWidth="1"/>
    <col min="3584" max="3584" width="11.5546875" style="366" customWidth="1"/>
    <col min="3585" max="3824" width="8.88671875" style="366"/>
    <col min="3825" max="3825" width="8.5546875" style="366" customWidth="1"/>
    <col min="3826" max="3826" width="6.33203125" style="366" customWidth="1"/>
    <col min="3827" max="3827" width="11.33203125" style="366" customWidth="1"/>
    <col min="3828" max="3828" width="8" style="366" customWidth="1"/>
    <col min="3829" max="3829" width="11.6640625" style="366" customWidth="1"/>
    <col min="3830" max="3830" width="4.21875" style="366" customWidth="1"/>
    <col min="3831" max="3831" width="9.6640625" style="366" customWidth="1"/>
    <col min="3832" max="3832" width="11.5546875" style="366" customWidth="1"/>
    <col min="3833" max="3833" width="8.5546875" style="366" customWidth="1"/>
    <col min="3834" max="3834" width="6.33203125" style="366" customWidth="1"/>
    <col min="3835" max="3835" width="11.33203125" style="366" customWidth="1"/>
    <col min="3836" max="3836" width="8" style="366" customWidth="1"/>
    <col min="3837" max="3837" width="11.6640625" style="366" customWidth="1"/>
    <col min="3838" max="3838" width="4.21875" style="366" customWidth="1"/>
    <col min="3839" max="3839" width="9.6640625" style="366" customWidth="1"/>
    <col min="3840" max="3840" width="11.5546875" style="366" customWidth="1"/>
    <col min="3841" max="4080" width="8.88671875" style="366"/>
    <col min="4081" max="4081" width="8.5546875" style="366" customWidth="1"/>
    <col min="4082" max="4082" width="6.33203125" style="366" customWidth="1"/>
    <col min="4083" max="4083" width="11.33203125" style="366" customWidth="1"/>
    <col min="4084" max="4084" width="8" style="366" customWidth="1"/>
    <col min="4085" max="4085" width="11.6640625" style="366" customWidth="1"/>
    <col min="4086" max="4086" width="4.21875" style="366" customWidth="1"/>
    <col min="4087" max="4087" width="9.6640625" style="366" customWidth="1"/>
    <col min="4088" max="4088" width="11.5546875" style="366" customWidth="1"/>
    <col min="4089" max="4089" width="8.5546875" style="366" customWidth="1"/>
    <col min="4090" max="4090" width="6.33203125" style="366" customWidth="1"/>
    <col min="4091" max="4091" width="11.33203125" style="366" customWidth="1"/>
    <col min="4092" max="4092" width="8" style="366" customWidth="1"/>
    <col min="4093" max="4093" width="11.6640625" style="366" customWidth="1"/>
    <col min="4094" max="4094" width="4.21875" style="366" customWidth="1"/>
    <col min="4095" max="4095" width="9.6640625" style="366" customWidth="1"/>
    <col min="4096" max="4096" width="11.5546875" style="366" customWidth="1"/>
    <col min="4097" max="4336" width="8.88671875" style="366"/>
    <col min="4337" max="4337" width="8.5546875" style="366" customWidth="1"/>
    <col min="4338" max="4338" width="6.33203125" style="366" customWidth="1"/>
    <col min="4339" max="4339" width="11.33203125" style="366" customWidth="1"/>
    <col min="4340" max="4340" width="8" style="366" customWidth="1"/>
    <col min="4341" max="4341" width="11.6640625" style="366" customWidth="1"/>
    <col min="4342" max="4342" width="4.21875" style="366" customWidth="1"/>
    <col min="4343" max="4343" width="9.6640625" style="366" customWidth="1"/>
    <col min="4344" max="4344" width="11.5546875" style="366" customWidth="1"/>
    <col min="4345" max="4345" width="8.5546875" style="366" customWidth="1"/>
    <col min="4346" max="4346" width="6.33203125" style="366" customWidth="1"/>
    <col min="4347" max="4347" width="11.33203125" style="366" customWidth="1"/>
    <col min="4348" max="4348" width="8" style="366" customWidth="1"/>
    <col min="4349" max="4349" width="11.6640625" style="366" customWidth="1"/>
    <col min="4350" max="4350" width="4.21875" style="366" customWidth="1"/>
    <col min="4351" max="4351" width="9.6640625" style="366" customWidth="1"/>
    <col min="4352" max="4352" width="11.5546875" style="366" customWidth="1"/>
    <col min="4353" max="4592" width="8.88671875" style="366"/>
    <col min="4593" max="4593" width="8.5546875" style="366" customWidth="1"/>
    <col min="4594" max="4594" width="6.33203125" style="366" customWidth="1"/>
    <col min="4595" max="4595" width="11.33203125" style="366" customWidth="1"/>
    <col min="4596" max="4596" width="8" style="366" customWidth="1"/>
    <col min="4597" max="4597" width="11.6640625" style="366" customWidth="1"/>
    <col min="4598" max="4598" width="4.21875" style="366" customWidth="1"/>
    <col min="4599" max="4599" width="9.6640625" style="366" customWidth="1"/>
    <col min="4600" max="4600" width="11.5546875" style="366" customWidth="1"/>
    <col min="4601" max="4601" width="8.5546875" style="366" customWidth="1"/>
    <col min="4602" max="4602" width="6.33203125" style="366" customWidth="1"/>
    <col min="4603" max="4603" width="11.33203125" style="366" customWidth="1"/>
    <col min="4604" max="4604" width="8" style="366" customWidth="1"/>
    <col min="4605" max="4605" width="11.6640625" style="366" customWidth="1"/>
    <col min="4606" max="4606" width="4.21875" style="366" customWidth="1"/>
    <col min="4607" max="4607" width="9.6640625" style="366" customWidth="1"/>
    <col min="4608" max="4608" width="11.5546875" style="366" customWidth="1"/>
    <col min="4609" max="4848" width="8.88671875" style="366"/>
    <col min="4849" max="4849" width="8.5546875" style="366" customWidth="1"/>
    <col min="4850" max="4850" width="6.33203125" style="366" customWidth="1"/>
    <col min="4851" max="4851" width="11.33203125" style="366" customWidth="1"/>
    <col min="4852" max="4852" width="8" style="366" customWidth="1"/>
    <col min="4853" max="4853" width="11.6640625" style="366" customWidth="1"/>
    <col min="4854" max="4854" width="4.21875" style="366" customWidth="1"/>
    <col min="4855" max="4855" width="9.6640625" style="366" customWidth="1"/>
    <col min="4856" max="4856" width="11.5546875" style="366" customWidth="1"/>
    <col min="4857" max="4857" width="8.5546875" style="366" customWidth="1"/>
    <col min="4858" max="4858" width="6.33203125" style="366" customWidth="1"/>
    <col min="4859" max="4859" width="11.33203125" style="366" customWidth="1"/>
    <col min="4860" max="4860" width="8" style="366" customWidth="1"/>
    <col min="4861" max="4861" width="11.6640625" style="366" customWidth="1"/>
    <col min="4862" max="4862" width="4.21875" style="366" customWidth="1"/>
    <col min="4863" max="4863" width="9.6640625" style="366" customWidth="1"/>
    <col min="4864" max="4864" width="11.5546875" style="366" customWidth="1"/>
    <col min="4865" max="5104" width="8.88671875" style="366"/>
    <col min="5105" max="5105" width="8.5546875" style="366" customWidth="1"/>
    <col min="5106" max="5106" width="6.33203125" style="366" customWidth="1"/>
    <col min="5107" max="5107" width="11.33203125" style="366" customWidth="1"/>
    <col min="5108" max="5108" width="8" style="366" customWidth="1"/>
    <col min="5109" max="5109" width="11.6640625" style="366" customWidth="1"/>
    <col min="5110" max="5110" width="4.21875" style="366" customWidth="1"/>
    <col min="5111" max="5111" width="9.6640625" style="366" customWidth="1"/>
    <col min="5112" max="5112" width="11.5546875" style="366" customWidth="1"/>
    <col min="5113" max="5113" width="8.5546875" style="366" customWidth="1"/>
    <col min="5114" max="5114" width="6.33203125" style="366" customWidth="1"/>
    <col min="5115" max="5115" width="11.33203125" style="366" customWidth="1"/>
    <col min="5116" max="5116" width="8" style="366" customWidth="1"/>
    <col min="5117" max="5117" width="11.6640625" style="366" customWidth="1"/>
    <col min="5118" max="5118" width="4.21875" style="366" customWidth="1"/>
    <col min="5119" max="5119" width="9.6640625" style="366" customWidth="1"/>
    <col min="5120" max="5120" width="11.5546875" style="366" customWidth="1"/>
    <col min="5121" max="5360" width="8.88671875" style="366"/>
    <col min="5361" max="5361" width="8.5546875" style="366" customWidth="1"/>
    <col min="5362" max="5362" width="6.33203125" style="366" customWidth="1"/>
    <col min="5363" max="5363" width="11.33203125" style="366" customWidth="1"/>
    <col min="5364" max="5364" width="8" style="366" customWidth="1"/>
    <col min="5365" max="5365" width="11.6640625" style="366" customWidth="1"/>
    <col min="5366" max="5366" width="4.21875" style="366" customWidth="1"/>
    <col min="5367" max="5367" width="9.6640625" style="366" customWidth="1"/>
    <col min="5368" max="5368" width="11.5546875" style="366" customWidth="1"/>
    <col min="5369" max="5369" width="8.5546875" style="366" customWidth="1"/>
    <col min="5370" max="5370" width="6.33203125" style="366" customWidth="1"/>
    <col min="5371" max="5371" width="11.33203125" style="366" customWidth="1"/>
    <col min="5372" max="5372" width="8" style="366" customWidth="1"/>
    <col min="5373" max="5373" width="11.6640625" style="366" customWidth="1"/>
    <col min="5374" max="5374" width="4.21875" style="366" customWidth="1"/>
    <col min="5375" max="5375" width="9.6640625" style="366" customWidth="1"/>
    <col min="5376" max="5376" width="11.5546875" style="366" customWidth="1"/>
    <col min="5377" max="5616" width="8.88671875" style="366"/>
    <col min="5617" max="5617" width="8.5546875" style="366" customWidth="1"/>
    <col min="5618" max="5618" width="6.33203125" style="366" customWidth="1"/>
    <col min="5619" max="5619" width="11.33203125" style="366" customWidth="1"/>
    <col min="5620" max="5620" width="8" style="366" customWidth="1"/>
    <col min="5621" max="5621" width="11.6640625" style="366" customWidth="1"/>
    <col min="5622" max="5622" width="4.21875" style="366" customWidth="1"/>
    <col min="5623" max="5623" width="9.6640625" style="366" customWidth="1"/>
    <col min="5624" max="5624" width="11.5546875" style="366" customWidth="1"/>
    <col min="5625" max="5625" width="8.5546875" style="366" customWidth="1"/>
    <col min="5626" max="5626" width="6.33203125" style="366" customWidth="1"/>
    <col min="5627" max="5627" width="11.33203125" style="366" customWidth="1"/>
    <col min="5628" max="5628" width="8" style="366" customWidth="1"/>
    <col min="5629" max="5629" width="11.6640625" style="366" customWidth="1"/>
    <col min="5630" max="5630" width="4.21875" style="366" customWidth="1"/>
    <col min="5631" max="5631" width="9.6640625" style="366" customWidth="1"/>
    <col min="5632" max="5632" width="11.5546875" style="366" customWidth="1"/>
    <col min="5633" max="5872" width="8.88671875" style="366"/>
    <col min="5873" max="5873" width="8.5546875" style="366" customWidth="1"/>
    <col min="5874" max="5874" width="6.33203125" style="366" customWidth="1"/>
    <col min="5875" max="5875" width="11.33203125" style="366" customWidth="1"/>
    <col min="5876" max="5876" width="8" style="366" customWidth="1"/>
    <col min="5877" max="5877" width="11.6640625" style="366" customWidth="1"/>
    <col min="5878" max="5878" width="4.21875" style="366" customWidth="1"/>
    <col min="5879" max="5879" width="9.6640625" style="366" customWidth="1"/>
    <col min="5880" max="5880" width="11.5546875" style="366" customWidth="1"/>
    <col min="5881" max="5881" width="8.5546875" style="366" customWidth="1"/>
    <col min="5882" max="5882" width="6.33203125" style="366" customWidth="1"/>
    <col min="5883" max="5883" width="11.33203125" style="366" customWidth="1"/>
    <col min="5884" max="5884" width="8" style="366" customWidth="1"/>
    <col min="5885" max="5885" width="11.6640625" style="366" customWidth="1"/>
    <col min="5886" max="5886" width="4.21875" style="366" customWidth="1"/>
    <col min="5887" max="5887" width="9.6640625" style="366" customWidth="1"/>
    <col min="5888" max="5888" width="11.5546875" style="366" customWidth="1"/>
    <col min="5889" max="6128" width="8.88671875" style="366"/>
    <col min="6129" max="6129" width="8.5546875" style="366" customWidth="1"/>
    <col min="6130" max="6130" width="6.33203125" style="366" customWidth="1"/>
    <col min="6131" max="6131" width="11.33203125" style="366" customWidth="1"/>
    <col min="6132" max="6132" width="8" style="366" customWidth="1"/>
    <col min="6133" max="6133" width="11.6640625" style="366" customWidth="1"/>
    <col min="6134" max="6134" width="4.21875" style="366" customWidth="1"/>
    <col min="6135" max="6135" width="9.6640625" style="366" customWidth="1"/>
    <col min="6136" max="6136" width="11.5546875" style="366" customWidth="1"/>
    <col min="6137" max="6137" width="8.5546875" style="366" customWidth="1"/>
    <col min="6138" max="6138" width="6.33203125" style="366" customWidth="1"/>
    <col min="6139" max="6139" width="11.33203125" style="366" customWidth="1"/>
    <col min="6140" max="6140" width="8" style="366" customWidth="1"/>
    <col min="6141" max="6141" width="11.6640625" style="366" customWidth="1"/>
    <col min="6142" max="6142" width="4.21875" style="366" customWidth="1"/>
    <col min="6143" max="6143" width="9.6640625" style="366" customWidth="1"/>
    <col min="6144" max="6144" width="11.5546875" style="366" customWidth="1"/>
    <col min="6145" max="6384" width="8.88671875" style="366"/>
    <col min="6385" max="6385" width="8.5546875" style="366" customWidth="1"/>
    <col min="6386" max="6386" width="6.33203125" style="366" customWidth="1"/>
    <col min="6387" max="6387" width="11.33203125" style="366" customWidth="1"/>
    <col min="6388" max="6388" width="8" style="366" customWidth="1"/>
    <col min="6389" max="6389" width="11.6640625" style="366" customWidth="1"/>
    <col min="6390" max="6390" width="4.21875" style="366" customWidth="1"/>
    <col min="6391" max="6391" width="9.6640625" style="366" customWidth="1"/>
    <col min="6392" max="6392" width="11.5546875" style="366" customWidth="1"/>
    <col min="6393" max="6393" width="8.5546875" style="366" customWidth="1"/>
    <col min="6394" max="6394" width="6.33203125" style="366" customWidth="1"/>
    <col min="6395" max="6395" width="11.33203125" style="366" customWidth="1"/>
    <col min="6396" max="6396" width="8" style="366" customWidth="1"/>
    <col min="6397" max="6397" width="11.6640625" style="366" customWidth="1"/>
    <col min="6398" max="6398" width="4.21875" style="366" customWidth="1"/>
    <col min="6399" max="6399" width="9.6640625" style="366" customWidth="1"/>
    <col min="6400" max="6400" width="11.5546875" style="366" customWidth="1"/>
    <col min="6401" max="6640" width="8.88671875" style="366"/>
    <col min="6641" max="6641" width="8.5546875" style="366" customWidth="1"/>
    <col min="6642" max="6642" width="6.33203125" style="366" customWidth="1"/>
    <col min="6643" max="6643" width="11.33203125" style="366" customWidth="1"/>
    <col min="6644" max="6644" width="8" style="366" customWidth="1"/>
    <col min="6645" max="6645" width="11.6640625" style="366" customWidth="1"/>
    <col min="6646" max="6646" width="4.21875" style="366" customWidth="1"/>
    <col min="6647" max="6647" width="9.6640625" style="366" customWidth="1"/>
    <col min="6648" max="6648" width="11.5546875" style="366" customWidth="1"/>
    <col min="6649" max="6649" width="8.5546875" style="366" customWidth="1"/>
    <col min="6650" max="6650" width="6.33203125" style="366" customWidth="1"/>
    <col min="6651" max="6651" width="11.33203125" style="366" customWidth="1"/>
    <col min="6652" max="6652" width="8" style="366" customWidth="1"/>
    <col min="6653" max="6653" width="11.6640625" style="366" customWidth="1"/>
    <col min="6654" max="6654" width="4.21875" style="366" customWidth="1"/>
    <col min="6655" max="6655" width="9.6640625" style="366" customWidth="1"/>
    <col min="6656" max="6656" width="11.5546875" style="366" customWidth="1"/>
    <col min="6657" max="6896" width="8.88671875" style="366"/>
    <col min="6897" max="6897" width="8.5546875" style="366" customWidth="1"/>
    <col min="6898" max="6898" width="6.33203125" style="366" customWidth="1"/>
    <col min="6899" max="6899" width="11.33203125" style="366" customWidth="1"/>
    <col min="6900" max="6900" width="8" style="366" customWidth="1"/>
    <col min="6901" max="6901" width="11.6640625" style="366" customWidth="1"/>
    <col min="6902" max="6902" width="4.21875" style="366" customWidth="1"/>
    <col min="6903" max="6903" width="9.6640625" style="366" customWidth="1"/>
    <col min="6904" max="6904" width="11.5546875" style="366" customWidth="1"/>
    <col min="6905" max="6905" width="8.5546875" style="366" customWidth="1"/>
    <col min="6906" max="6906" width="6.33203125" style="366" customWidth="1"/>
    <col min="6907" max="6907" width="11.33203125" style="366" customWidth="1"/>
    <col min="6908" max="6908" width="8" style="366" customWidth="1"/>
    <col min="6909" max="6909" width="11.6640625" style="366" customWidth="1"/>
    <col min="6910" max="6910" width="4.21875" style="366" customWidth="1"/>
    <col min="6911" max="6911" width="9.6640625" style="366" customWidth="1"/>
    <col min="6912" max="6912" width="11.5546875" style="366" customWidth="1"/>
    <col min="6913" max="7152" width="8.88671875" style="366"/>
    <col min="7153" max="7153" width="8.5546875" style="366" customWidth="1"/>
    <col min="7154" max="7154" width="6.33203125" style="366" customWidth="1"/>
    <col min="7155" max="7155" width="11.33203125" style="366" customWidth="1"/>
    <col min="7156" max="7156" width="8" style="366" customWidth="1"/>
    <col min="7157" max="7157" width="11.6640625" style="366" customWidth="1"/>
    <col min="7158" max="7158" width="4.21875" style="366" customWidth="1"/>
    <col min="7159" max="7159" width="9.6640625" style="366" customWidth="1"/>
    <col min="7160" max="7160" width="11.5546875" style="366" customWidth="1"/>
    <col min="7161" max="7161" width="8.5546875" style="366" customWidth="1"/>
    <col min="7162" max="7162" width="6.33203125" style="366" customWidth="1"/>
    <col min="7163" max="7163" width="11.33203125" style="366" customWidth="1"/>
    <col min="7164" max="7164" width="8" style="366" customWidth="1"/>
    <col min="7165" max="7165" width="11.6640625" style="366" customWidth="1"/>
    <col min="7166" max="7166" width="4.21875" style="366" customWidth="1"/>
    <col min="7167" max="7167" width="9.6640625" style="366" customWidth="1"/>
    <col min="7168" max="7168" width="11.5546875" style="366" customWidth="1"/>
    <col min="7169" max="7408" width="8.88671875" style="366"/>
    <col min="7409" max="7409" width="8.5546875" style="366" customWidth="1"/>
    <col min="7410" max="7410" width="6.33203125" style="366" customWidth="1"/>
    <col min="7411" max="7411" width="11.33203125" style="366" customWidth="1"/>
    <col min="7412" max="7412" width="8" style="366" customWidth="1"/>
    <col min="7413" max="7413" width="11.6640625" style="366" customWidth="1"/>
    <col min="7414" max="7414" width="4.21875" style="366" customWidth="1"/>
    <col min="7415" max="7415" width="9.6640625" style="366" customWidth="1"/>
    <col min="7416" max="7416" width="11.5546875" style="366" customWidth="1"/>
    <col min="7417" max="7417" width="8.5546875" style="366" customWidth="1"/>
    <col min="7418" max="7418" width="6.33203125" style="366" customWidth="1"/>
    <col min="7419" max="7419" width="11.33203125" style="366" customWidth="1"/>
    <col min="7420" max="7420" width="8" style="366" customWidth="1"/>
    <col min="7421" max="7421" width="11.6640625" style="366" customWidth="1"/>
    <col min="7422" max="7422" width="4.21875" style="366" customWidth="1"/>
    <col min="7423" max="7423" width="9.6640625" style="366" customWidth="1"/>
    <col min="7424" max="7424" width="11.5546875" style="366" customWidth="1"/>
    <col min="7425" max="7664" width="8.88671875" style="366"/>
    <col min="7665" max="7665" width="8.5546875" style="366" customWidth="1"/>
    <col min="7666" max="7666" width="6.33203125" style="366" customWidth="1"/>
    <col min="7667" max="7667" width="11.33203125" style="366" customWidth="1"/>
    <col min="7668" max="7668" width="8" style="366" customWidth="1"/>
    <col min="7669" max="7669" width="11.6640625" style="366" customWidth="1"/>
    <col min="7670" max="7670" width="4.21875" style="366" customWidth="1"/>
    <col min="7671" max="7671" width="9.6640625" style="366" customWidth="1"/>
    <col min="7672" max="7672" width="11.5546875" style="366" customWidth="1"/>
    <col min="7673" max="7673" width="8.5546875" style="366" customWidth="1"/>
    <col min="7674" max="7674" width="6.33203125" style="366" customWidth="1"/>
    <col min="7675" max="7675" width="11.33203125" style="366" customWidth="1"/>
    <col min="7676" max="7676" width="8" style="366" customWidth="1"/>
    <col min="7677" max="7677" width="11.6640625" style="366" customWidth="1"/>
    <col min="7678" max="7678" width="4.21875" style="366" customWidth="1"/>
    <col min="7679" max="7679" width="9.6640625" style="366" customWidth="1"/>
    <col min="7680" max="7680" width="11.5546875" style="366" customWidth="1"/>
    <col min="7681" max="7920" width="8.88671875" style="366"/>
    <col min="7921" max="7921" width="8.5546875" style="366" customWidth="1"/>
    <col min="7922" max="7922" width="6.33203125" style="366" customWidth="1"/>
    <col min="7923" max="7923" width="11.33203125" style="366" customWidth="1"/>
    <col min="7924" max="7924" width="8" style="366" customWidth="1"/>
    <col min="7925" max="7925" width="11.6640625" style="366" customWidth="1"/>
    <col min="7926" max="7926" width="4.21875" style="366" customWidth="1"/>
    <col min="7927" max="7927" width="9.6640625" style="366" customWidth="1"/>
    <col min="7928" max="7928" width="11.5546875" style="366" customWidth="1"/>
    <col min="7929" max="7929" width="8.5546875" style="366" customWidth="1"/>
    <col min="7930" max="7930" width="6.33203125" style="366" customWidth="1"/>
    <col min="7931" max="7931" width="11.33203125" style="366" customWidth="1"/>
    <col min="7932" max="7932" width="8" style="366" customWidth="1"/>
    <col min="7933" max="7933" width="11.6640625" style="366" customWidth="1"/>
    <col min="7934" max="7934" width="4.21875" style="366" customWidth="1"/>
    <col min="7935" max="7935" width="9.6640625" style="366" customWidth="1"/>
    <col min="7936" max="7936" width="11.5546875" style="366" customWidth="1"/>
    <col min="7937" max="8176" width="8.88671875" style="366"/>
    <col min="8177" max="8177" width="8.5546875" style="366" customWidth="1"/>
    <col min="8178" max="8178" width="6.33203125" style="366" customWidth="1"/>
    <col min="8179" max="8179" width="11.33203125" style="366" customWidth="1"/>
    <col min="8180" max="8180" width="8" style="366" customWidth="1"/>
    <col min="8181" max="8181" width="11.6640625" style="366" customWidth="1"/>
    <col min="8182" max="8182" width="4.21875" style="366" customWidth="1"/>
    <col min="8183" max="8183" width="9.6640625" style="366" customWidth="1"/>
    <col min="8184" max="8184" width="11.5546875" style="366" customWidth="1"/>
    <col min="8185" max="8185" width="8.5546875" style="366" customWidth="1"/>
    <col min="8186" max="8186" width="6.33203125" style="366" customWidth="1"/>
    <col min="8187" max="8187" width="11.33203125" style="366" customWidth="1"/>
    <col min="8188" max="8188" width="8" style="366" customWidth="1"/>
    <col min="8189" max="8189" width="11.6640625" style="366" customWidth="1"/>
    <col min="8190" max="8190" width="4.21875" style="366" customWidth="1"/>
    <col min="8191" max="8191" width="9.6640625" style="366" customWidth="1"/>
    <col min="8192" max="8192" width="11.5546875" style="366" customWidth="1"/>
    <col min="8193" max="8432" width="8.88671875" style="366"/>
    <col min="8433" max="8433" width="8.5546875" style="366" customWidth="1"/>
    <col min="8434" max="8434" width="6.33203125" style="366" customWidth="1"/>
    <col min="8435" max="8435" width="11.33203125" style="366" customWidth="1"/>
    <col min="8436" max="8436" width="8" style="366" customWidth="1"/>
    <col min="8437" max="8437" width="11.6640625" style="366" customWidth="1"/>
    <col min="8438" max="8438" width="4.21875" style="366" customWidth="1"/>
    <col min="8439" max="8439" width="9.6640625" style="366" customWidth="1"/>
    <col min="8440" max="8440" width="11.5546875" style="366" customWidth="1"/>
    <col min="8441" max="8441" width="8.5546875" style="366" customWidth="1"/>
    <col min="8442" max="8442" width="6.33203125" style="366" customWidth="1"/>
    <col min="8443" max="8443" width="11.33203125" style="366" customWidth="1"/>
    <col min="8444" max="8444" width="8" style="366" customWidth="1"/>
    <col min="8445" max="8445" width="11.6640625" style="366" customWidth="1"/>
    <col min="8446" max="8446" width="4.21875" style="366" customWidth="1"/>
    <col min="8447" max="8447" width="9.6640625" style="366" customWidth="1"/>
    <col min="8448" max="8448" width="11.5546875" style="366" customWidth="1"/>
    <col min="8449" max="8688" width="8.88671875" style="366"/>
    <col min="8689" max="8689" width="8.5546875" style="366" customWidth="1"/>
    <col min="8690" max="8690" width="6.33203125" style="366" customWidth="1"/>
    <col min="8691" max="8691" width="11.33203125" style="366" customWidth="1"/>
    <col min="8692" max="8692" width="8" style="366" customWidth="1"/>
    <col min="8693" max="8693" width="11.6640625" style="366" customWidth="1"/>
    <col min="8694" max="8694" width="4.21875" style="366" customWidth="1"/>
    <col min="8695" max="8695" width="9.6640625" style="366" customWidth="1"/>
    <col min="8696" max="8696" width="11.5546875" style="366" customWidth="1"/>
    <col min="8697" max="8697" width="8.5546875" style="366" customWidth="1"/>
    <col min="8698" max="8698" width="6.33203125" style="366" customWidth="1"/>
    <col min="8699" max="8699" width="11.33203125" style="366" customWidth="1"/>
    <col min="8700" max="8700" width="8" style="366" customWidth="1"/>
    <col min="8701" max="8701" width="11.6640625" style="366" customWidth="1"/>
    <col min="8702" max="8702" width="4.21875" style="366" customWidth="1"/>
    <col min="8703" max="8703" width="9.6640625" style="366" customWidth="1"/>
    <col min="8704" max="8704" width="11.5546875" style="366" customWidth="1"/>
    <col min="8705" max="8944" width="8.88671875" style="366"/>
    <col min="8945" max="8945" width="8.5546875" style="366" customWidth="1"/>
    <col min="8946" max="8946" width="6.33203125" style="366" customWidth="1"/>
    <col min="8947" max="8947" width="11.33203125" style="366" customWidth="1"/>
    <col min="8948" max="8948" width="8" style="366" customWidth="1"/>
    <col min="8949" max="8949" width="11.6640625" style="366" customWidth="1"/>
    <col min="8950" max="8950" width="4.21875" style="366" customWidth="1"/>
    <col min="8951" max="8951" width="9.6640625" style="366" customWidth="1"/>
    <col min="8952" max="8952" width="11.5546875" style="366" customWidth="1"/>
    <col min="8953" max="8953" width="8.5546875" style="366" customWidth="1"/>
    <col min="8954" max="8954" width="6.33203125" style="366" customWidth="1"/>
    <col min="8955" max="8955" width="11.33203125" style="366" customWidth="1"/>
    <col min="8956" max="8956" width="8" style="366" customWidth="1"/>
    <col min="8957" max="8957" width="11.6640625" style="366" customWidth="1"/>
    <col min="8958" max="8958" width="4.21875" style="366" customWidth="1"/>
    <col min="8959" max="8959" width="9.6640625" style="366" customWidth="1"/>
    <col min="8960" max="8960" width="11.5546875" style="366" customWidth="1"/>
    <col min="8961" max="9200" width="8.88671875" style="366"/>
    <col min="9201" max="9201" width="8.5546875" style="366" customWidth="1"/>
    <col min="9202" max="9202" width="6.33203125" style="366" customWidth="1"/>
    <col min="9203" max="9203" width="11.33203125" style="366" customWidth="1"/>
    <col min="9204" max="9204" width="8" style="366" customWidth="1"/>
    <col min="9205" max="9205" width="11.6640625" style="366" customWidth="1"/>
    <col min="9206" max="9206" width="4.21875" style="366" customWidth="1"/>
    <col min="9207" max="9207" width="9.6640625" style="366" customWidth="1"/>
    <col min="9208" max="9208" width="11.5546875" style="366" customWidth="1"/>
    <col min="9209" max="9209" width="8.5546875" style="366" customWidth="1"/>
    <col min="9210" max="9210" width="6.33203125" style="366" customWidth="1"/>
    <col min="9211" max="9211" width="11.33203125" style="366" customWidth="1"/>
    <col min="9212" max="9212" width="8" style="366" customWidth="1"/>
    <col min="9213" max="9213" width="11.6640625" style="366" customWidth="1"/>
    <col min="9214" max="9214" width="4.21875" style="366" customWidth="1"/>
    <col min="9215" max="9215" width="9.6640625" style="366" customWidth="1"/>
    <col min="9216" max="9216" width="11.5546875" style="366" customWidth="1"/>
    <col min="9217" max="9456" width="8.88671875" style="366"/>
    <col min="9457" max="9457" width="8.5546875" style="366" customWidth="1"/>
    <col min="9458" max="9458" width="6.33203125" style="366" customWidth="1"/>
    <col min="9459" max="9459" width="11.33203125" style="366" customWidth="1"/>
    <col min="9460" max="9460" width="8" style="366" customWidth="1"/>
    <col min="9461" max="9461" width="11.6640625" style="366" customWidth="1"/>
    <col min="9462" max="9462" width="4.21875" style="366" customWidth="1"/>
    <col min="9463" max="9463" width="9.6640625" style="366" customWidth="1"/>
    <col min="9464" max="9464" width="11.5546875" style="366" customWidth="1"/>
    <col min="9465" max="9465" width="8.5546875" style="366" customWidth="1"/>
    <col min="9466" max="9466" width="6.33203125" style="366" customWidth="1"/>
    <col min="9467" max="9467" width="11.33203125" style="366" customWidth="1"/>
    <col min="9468" max="9468" width="8" style="366" customWidth="1"/>
    <col min="9469" max="9469" width="11.6640625" style="366" customWidth="1"/>
    <col min="9470" max="9470" width="4.21875" style="366" customWidth="1"/>
    <col min="9471" max="9471" width="9.6640625" style="366" customWidth="1"/>
    <col min="9472" max="9472" width="11.5546875" style="366" customWidth="1"/>
    <col min="9473" max="9712" width="8.88671875" style="366"/>
    <col min="9713" max="9713" width="8.5546875" style="366" customWidth="1"/>
    <col min="9714" max="9714" width="6.33203125" style="366" customWidth="1"/>
    <col min="9715" max="9715" width="11.33203125" style="366" customWidth="1"/>
    <col min="9716" max="9716" width="8" style="366" customWidth="1"/>
    <col min="9717" max="9717" width="11.6640625" style="366" customWidth="1"/>
    <col min="9718" max="9718" width="4.21875" style="366" customWidth="1"/>
    <col min="9719" max="9719" width="9.6640625" style="366" customWidth="1"/>
    <col min="9720" max="9720" width="11.5546875" style="366" customWidth="1"/>
    <col min="9721" max="9721" width="8.5546875" style="366" customWidth="1"/>
    <col min="9722" max="9722" width="6.33203125" style="366" customWidth="1"/>
    <col min="9723" max="9723" width="11.33203125" style="366" customWidth="1"/>
    <col min="9724" max="9724" width="8" style="366" customWidth="1"/>
    <col min="9725" max="9725" width="11.6640625" style="366" customWidth="1"/>
    <col min="9726" max="9726" width="4.21875" style="366" customWidth="1"/>
    <col min="9727" max="9727" width="9.6640625" style="366" customWidth="1"/>
    <col min="9728" max="9728" width="11.5546875" style="366" customWidth="1"/>
    <col min="9729" max="9968" width="8.88671875" style="366"/>
    <col min="9969" max="9969" width="8.5546875" style="366" customWidth="1"/>
    <col min="9970" max="9970" width="6.33203125" style="366" customWidth="1"/>
    <col min="9971" max="9971" width="11.33203125" style="366" customWidth="1"/>
    <col min="9972" max="9972" width="8" style="366" customWidth="1"/>
    <col min="9973" max="9973" width="11.6640625" style="366" customWidth="1"/>
    <col min="9974" max="9974" width="4.21875" style="366" customWidth="1"/>
    <col min="9975" max="9975" width="9.6640625" style="366" customWidth="1"/>
    <col min="9976" max="9976" width="11.5546875" style="366" customWidth="1"/>
    <col min="9977" max="9977" width="8.5546875" style="366" customWidth="1"/>
    <col min="9978" max="9978" width="6.33203125" style="366" customWidth="1"/>
    <col min="9979" max="9979" width="11.33203125" style="366" customWidth="1"/>
    <col min="9980" max="9980" width="8" style="366" customWidth="1"/>
    <col min="9981" max="9981" width="11.6640625" style="366" customWidth="1"/>
    <col min="9982" max="9982" width="4.21875" style="366" customWidth="1"/>
    <col min="9983" max="9983" width="9.6640625" style="366" customWidth="1"/>
    <col min="9984" max="9984" width="11.5546875" style="366" customWidth="1"/>
    <col min="9985" max="10224" width="8.88671875" style="366"/>
    <col min="10225" max="10225" width="8.5546875" style="366" customWidth="1"/>
    <col min="10226" max="10226" width="6.33203125" style="366" customWidth="1"/>
    <col min="10227" max="10227" width="11.33203125" style="366" customWidth="1"/>
    <col min="10228" max="10228" width="8" style="366" customWidth="1"/>
    <col min="10229" max="10229" width="11.6640625" style="366" customWidth="1"/>
    <col min="10230" max="10230" width="4.21875" style="366" customWidth="1"/>
    <col min="10231" max="10231" width="9.6640625" style="366" customWidth="1"/>
    <col min="10232" max="10232" width="11.5546875" style="366" customWidth="1"/>
    <col min="10233" max="10233" width="8.5546875" style="366" customWidth="1"/>
    <col min="10234" max="10234" width="6.33203125" style="366" customWidth="1"/>
    <col min="10235" max="10235" width="11.33203125" style="366" customWidth="1"/>
    <col min="10236" max="10236" width="8" style="366" customWidth="1"/>
    <col min="10237" max="10237" width="11.6640625" style="366" customWidth="1"/>
    <col min="10238" max="10238" width="4.21875" style="366" customWidth="1"/>
    <col min="10239" max="10239" width="9.6640625" style="366" customWidth="1"/>
    <col min="10240" max="10240" width="11.5546875" style="366" customWidth="1"/>
    <col min="10241" max="10480" width="8.88671875" style="366"/>
    <col min="10481" max="10481" width="8.5546875" style="366" customWidth="1"/>
    <col min="10482" max="10482" width="6.33203125" style="366" customWidth="1"/>
    <col min="10483" max="10483" width="11.33203125" style="366" customWidth="1"/>
    <col min="10484" max="10484" width="8" style="366" customWidth="1"/>
    <col min="10485" max="10485" width="11.6640625" style="366" customWidth="1"/>
    <col min="10486" max="10486" width="4.21875" style="366" customWidth="1"/>
    <col min="10487" max="10487" width="9.6640625" style="366" customWidth="1"/>
    <col min="10488" max="10488" width="11.5546875" style="366" customWidth="1"/>
    <col min="10489" max="10489" width="8.5546875" style="366" customWidth="1"/>
    <col min="10490" max="10490" width="6.33203125" style="366" customWidth="1"/>
    <col min="10491" max="10491" width="11.33203125" style="366" customWidth="1"/>
    <col min="10492" max="10492" width="8" style="366" customWidth="1"/>
    <col min="10493" max="10493" width="11.6640625" style="366" customWidth="1"/>
    <col min="10494" max="10494" width="4.21875" style="366" customWidth="1"/>
    <col min="10495" max="10495" width="9.6640625" style="366" customWidth="1"/>
    <col min="10496" max="10496" width="11.5546875" style="366" customWidth="1"/>
    <col min="10497" max="10736" width="8.88671875" style="366"/>
    <col min="10737" max="10737" width="8.5546875" style="366" customWidth="1"/>
    <col min="10738" max="10738" width="6.33203125" style="366" customWidth="1"/>
    <col min="10739" max="10739" width="11.33203125" style="366" customWidth="1"/>
    <col min="10740" max="10740" width="8" style="366" customWidth="1"/>
    <col min="10741" max="10741" width="11.6640625" style="366" customWidth="1"/>
    <col min="10742" max="10742" width="4.21875" style="366" customWidth="1"/>
    <col min="10743" max="10743" width="9.6640625" style="366" customWidth="1"/>
    <col min="10744" max="10744" width="11.5546875" style="366" customWidth="1"/>
    <col min="10745" max="10745" width="8.5546875" style="366" customWidth="1"/>
    <col min="10746" max="10746" width="6.33203125" style="366" customWidth="1"/>
    <col min="10747" max="10747" width="11.33203125" style="366" customWidth="1"/>
    <col min="10748" max="10748" width="8" style="366" customWidth="1"/>
    <col min="10749" max="10749" width="11.6640625" style="366" customWidth="1"/>
    <col min="10750" max="10750" width="4.21875" style="366" customWidth="1"/>
    <col min="10751" max="10751" width="9.6640625" style="366" customWidth="1"/>
    <col min="10752" max="10752" width="11.5546875" style="366" customWidth="1"/>
    <col min="10753" max="10992" width="8.88671875" style="366"/>
    <col min="10993" max="10993" width="8.5546875" style="366" customWidth="1"/>
    <col min="10994" max="10994" width="6.33203125" style="366" customWidth="1"/>
    <col min="10995" max="10995" width="11.33203125" style="366" customWidth="1"/>
    <col min="10996" max="10996" width="8" style="366" customWidth="1"/>
    <col min="10997" max="10997" width="11.6640625" style="366" customWidth="1"/>
    <col min="10998" max="10998" width="4.21875" style="366" customWidth="1"/>
    <col min="10999" max="10999" width="9.6640625" style="366" customWidth="1"/>
    <col min="11000" max="11000" width="11.5546875" style="366" customWidth="1"/>
    <col min="11001" max="11001" width="8.5546875" style="366" customWidth="1"/>
    <col min="11002" max="11002" width="6.33203125" style="366" customWidth="1"/>
    <col min="11003" max="11003" width="11.33203125" style="366" customWidth="1"/>
    <col min="11004" max="11004" width="8" style="366" customWidth="1"/>
    <col min="11005" max="11005" width="11.6640625" style="366" customWidth="1"/>
    <col min="11006" max="11006" width="4.21875" style="366" customWidth="1"/>
    <col min="11007" max="11007" width="9.6640625" style="366" customWidth="1"/>
    <col min="11008" max="11008" width="11.5546875" style="366" customWidth="1"/>
    <col min="11009" max="11248" width="8.88671875" style="366"/>
    <col min="11249" max="11249" width="8.5546875" style="366" customWidth="1"/>
    <col min="11250" max="11250" width="6.33203125" style="366" customWidth="1"/>
    <col min="11251" max="11251" width="11.33203125" style="366" customWidth="1"/>
    <col min="11252" max="11252" width="8" style="366" customWidth="1"/>
    <col min="11253" max="11253" width="11.6640625" style="366" customWidth="1"/>
    <col min="11254" max="11254" width="4.21875" style="366" customWidth="1"/>
    <col min="11255" max="11255" width="9.6640625" style="366" customWidth="1"/>
    <col min="11256" max="11256" width="11.5546875" style="366" customWidth="1"/>
    <col min="11257" max="11257" width="8.5546875" style="366" customWidth="1"/>
    <col min="11258" max="11258" width="6.33203125" style="366" customWidth="1"/>
    <col min="11259" max="11259" width="11.33203125" style="366" customWidth="1"/>
    <col min="11260" max="11260" width="8" style="366" customWidth="1"/>
    <col min="11261" max="11261" width="11.6640625" style="366" customWidth="1"/>
    <col min="11262" max="11262" width="4.21875" style="366" customWidth="1"/>
    <col min="11263" max="11263" width="9.6640625" style="366" customWidth="1"/>
    <col min="11264" max="11264" width="11.5546875" style="366" customWidth="1"/>
    <col min="11265" max="11504" width="8.88671875" style="366"/>
    <col min="11505" max="11505" width="8.5546875" style="366" customWidth="1"/>
    <col min="11506" max="11506" width="6.33203125" style="366" customWidth="1"/>
    <col min="11507" max="11507" width="11.33203125" style="366" customWidth="1"/>
    <col min="11508" max="11508" width="8" style="366" customWidth="1"/>
    <col min="11509" max="11509" width="11.6640625" style="366" customWidth="1"/>
    <col min="11510" max="11510" width="4.21875" style="366" customWidth="1"/>
    <col min="11511" max="11511" width="9.6640625" style="366" customWidth="1"/>
    <col min="11512" max="11512" width="11.5546875" style="366" customWidth="1"/>
    <col min="11513" max="11513" width="8.5546875" style="366" customWidth="1"/>
    <col min="11514" max="11514" width="6.33203125" style="366" customWidth="1"/>
    <col min="11515" max="11515" width="11.33203125" style="366" customWidth="1"/>
    <col min="11516" max="11516" width="8" style="366" customWidth="1"/>
    <col min="11517" max="11517" width="11.6640625" style="366" customWidth="1"/>
    <col min="11518" max="11518" width="4.21875" style="366" customWidth="1"/>
    <col min="11519" max="11519" width="9.6640625" style="366" customWidth="1"/>
    <col min="11520" max="11520" width="11.5546875" style="366" customWidth="1"/>
    <col min="11521" max="11760" width="8.88671875" style="366"/>
    <col min="11761" max="11761" width="8.5546875" style="366" customWidth="1"/>
    <col min="11762" max="11762" width="6.33203125" style="366" customWidth="1"/>
    <col min="11763" max="11763" width="11.33203125" style="366" customWidth="1"/>
    <col min="11764" max="11764" width="8" style="366" customWidth="1"/>
    <col min="11765" max="11765" width="11.6640625" style="366" customWidth="1"/>
    <col min="11766" max="11766" width="4.21875" style="366" customWidth="1"/>
    <col min="11767" max="11767" width="9.6640625" style="366" customWidth="1"/>
    <col min="11768" max="11768" width="11.5546875" style="366" customWidth="1"/>
    <col min="11769" max="11769" width="8.5546875" style="366" customWidth="1"/>
    <col min="11770" max="11770" width="6.33203125" style="366" customWidth="1"/>
    <col min="11771" max="11771" width="11.33203125" style="366" customWidth="1"/>
    <col min="11772" max="11772" width="8" style="366" customWidth="1"/>
    <col min="11773" max="11773" width="11.6640625" style="366" customWidth="1"/>
    <col min="11774" max="11774" width="4.21875" style="366" customWidth="1"/>
    <col min="11775" max="11775" width="9.6640625" style="366" customWidth="1"/>
    <col min="11776" max="11776" width="11.5546875" style="366" customWidth="1"/>
    <col min="11777" max="12016" width="8.88671875" style="366"/>
    <col min="12017" max="12017" width="8.5546875" style="366" customWidth="1"/>
    <col min="12018" max="12018" width="6.33203125" style="366" customWidth="1"/>
    <col min="12019" max="12019" width="11.33203125" style="366" customWidth="1"/>
    <col min="12020" max="12020" width="8" style="366" customWidth="1"/>
    <col min="12021" max="12021" width="11.6640625" style="366" customWidth="1"/>
    <col min="12022" max="12022" width="4.21875" style="366" customWidth="1"/>
    <col min="12023" max="12023" width="9.6640625" style="366" customWidth="1"/>
    <col min="12024" max="12024" width="11.5546875" style="366" customWidth="1"/>
    <col min="12025" max="12025" width="8.5546875" style="366" customWidth="1"/>
    <col min="12026" max="12026" width="6.33203125" style="366" customWidth="1"/>
    <col min="12027" max="12027" width="11.33203125" style="366" customWidth="1"/>
    <col min="12028" max="12028" width="8" style="366" customWidth="1"/>
    <col min="12029" max="12029" width="11.6640625" style="366" customWidth="1"/>
    <col min="12030" max="12030" width="4.21875" style="366" customWidth="1"/>
    <col min="12031" max="12031" width="9.6640625" style="366" customWidth="1"/>
    <col min="12032" max="12032" width="11.5546875" style="366" customWidth="1"/>
    <col min="12033" max="12272" width="8.88671875" style="366"/>
    <col min="12273" max="12273" width="8.5546875" style="366" customWidth="1"/>
    <col min="12274" max="12274" width="6.33203125" style="366" customWidth="1"/>
    <col min="12275" max="12275" width="11.33203125" style="366" customWidth="1"/>
    <col min="12276" max="12276" width="8" style="366" customWidth="1"/>
    <col min="12277" max="12277" width="11.6640625" style="366" customWidth="1"/>
    <col min="12278" max="12278" width="4.21875" style="366" customWidth="1"/>
    <col min="12279" max="12279" width="9.6640625" style="366" customWidth="1"/>
    <col min="12280" max="12280" width="11.5546875" style="366" customWidth="1"/>
    <col min="12281" max="12281" width="8.5546875" style="366" customWidth="1"/>
    <col min="12282" max="12282" width="6.33203125" style="366" customWidth="1"/>
    <col min="12283" max="12283" width="11.33203125" style="366" customWidth="1"/>
    <col min="12284" max="12284" width="8" style="366" customWidth="1"/>
    <col min="12285" max="12285" width="11.6640625" style="366" customWidth="1"/>
    <col min="12286" max="12286" width="4.21875" style="366" customWidth="1"/>
    <col min="12287" max="12287" width="9.6640625" style="366" customWidth="1"/>
    <col min="12288" max="12288" width="11.5546875" style="366" customWidth="1"/>
    <col min="12289" max="12528" width="8.88671875" style="366"/>
    <col min="12529" max="12529" width="8.5546875" style="366" customWidth="1"/>
    <col min="12530" max="12530" width="6.33203125" style="366" customWidth="1"/>
    <col min="12531" max="12531" width="11.33203125" style="366" customWidth="1"/>
    <col min="12532" max="12532" width="8" style="366" customWidth="1"/>
    <col min="12533" max="12533" width="11.6640625" style="366" customWidth="1"/>
    <col min="12534" max="12534" width="4.21875" style="366" customWidth="1"/>
    <col min="12535" max="12535" width="9.6640625" style="366" customWidth="1"/>
    <col min="12536" max="12536" width="11.5546875" style="366" customWidth="1"/>
    <col min="12537" max="12537" width="8.5546875" style="366" customWidth="1"/>
    <col min="12538" max="12538" width="6.33203125" style="366" customWidth="1"/>
    <col min="12539" max="12539" width="11.33203125" style="366" customWidth="1"/>
    <col min="12540" max="12540" width="8" style="366" customWidth="1"/>
    <col min="12541" max="12541" width="11.6640625" style="366" customWidth="1"/>
    <col min="12542" max="12542" width="4.21875" style="366" customWidth="1"/>
    <col min="12543" max="12543" width="9.6640625" style="366" customWidth="1"/>
    <col min="12544" max="12544" width="11.5546875" style="366" customWidth="1"/>
    <col min="12545" max="12784" width="8.88671875" style="366"/>
    <col min="12785" max="12785" width="8.5546875" style="366" customWidth="1"/>
    <col min="12786" max="12786" width="6.33203125" style="366" customWidth="1"/>
    <col min="12787" max="12787" width="11.33203125" style="366" customWidth="1"/>
    <col min="12788" max="12788" width="8" style="366" customWidth="1"/>
    <col min="12789" max="12789" width="11.6640625" style="366" customWidth="1"/>
    <col min="12790" max="12790" width="4.21875" style="366" customWidth="1"/>
    <col min="12791" max="12791" width="9.6640625" style="366" customWidth="1"/>
    <col min="12792" max="12792" width="11.5546875" style="366" customWidth="1"/>
    <col min="12793" max="12793" width="8.5546875" style="366" customWidth="1"/>
    <col min="12794" max="12794" width="6.33203125" style="366" customWidth="1"/>
    <col min="12795" max="12795" width="11.33203125" style="366" customWidth="1"/>
    <col min="12796" max="12796" width="8" style="366" customWidth="1"/>
    <col min="12797" max="12797" width="11.6640625" style="366" customWidth="1"/>
    <col min="12798" max="12798" width="4.21875" style="366" customWidth="1"/>
    <col min="12799" max="12799" width="9.6640625" style="366" customWidth="1"/>
    <col min="12800" max="12800" width="11.5546875" style="366" customWidth="1"/>
    <col min="12801" max="13040" width="8.88671875" style="366"/>
    <col min="13041" max="13041" width="8.5546875" style="366" customWidth="1"/>
    <col min="13042" max="13042" width="6.33203125" style="366" customWidth="1"/>
    <col min="13043" max="13043" width="11.33203125" style="366" customWidth="1"/>
    <col min="13044" max="13044" width="8" style="366" customWidth="1"/>
    <col min="13045" max="13045" width="11.6640625" style="366" customWidth="1"/>
    <col min="13046" max="13046" width="4.21875" style="366" customWidth="1"/>
    <col min="13047" max="13047" width="9.6640625" style="366" customWidth="1"/>
    <col min="13048" max="13048" width="11.5546875" style="366" customWidth="1"/>
    <col min="13049" max="13049" width="8.5546875" style="366" customWidth="1"/>
    <col min="13050" max="13050" width="6.33203125" style="366" customWidth="1"/>
    <col min="13051" max="13051" width="11.33203125" style="366" customWidth="1"/>
    <col min="13052" max="13052" width="8" style="366" customWidth="1"/>
    <col min="13053" max="13053" width="11.6640625" style="366" customWidth="1"/>
    <col min="13054" max="13054" width="4.21875" style="366" customWidth="1"/>
    <col min="13055" max="13055" width="9.6640625" style="366" customWidth="1"/>
    <col min="13056" max="13056" width="11.5546875" style="366" customWidth="1"/>
    <col min="13057" max="13296" width="8.88671875" style="366"/>
    <col min="13297" max="13297" width="8.5546875" style="366" customWidth="1"/>
    <col min="13298" max="13298" width="6.33203125" style="366" customWidth="1"/>
    <col min="13299" max="13299" width="11.33203125" style="366" customWidth="1"/>
    <col min="13300" max="13300" width="8" style="366" customWidth="1"/>
    <col min="13301" max="13301" width="11.6640625" style="366" customWidth="1"/>
    <col min="13302" max="13302" width="4.21875" style="366" customWidth="1"/>
    <col min="13303" max="13303" width="9.6640625" style="366" customWidth="1"/>
    <col min="13304" max="13304" width="11.5546875" style="366" customWidth="1"/>
    <col min="13305" max="13305" width="8.5546875" style="366" customWidth="1"/>
    <col min="13306" max="13306" width="6.33203125" style="366" customWidth="1"/>
    <col min="13307" max="13307" width="11.33203125" style="366" customWidth="1"/>
    <col min="13308" max="13308" width="8" style="366" customWidth="1"/>
    <col min="13309" max="13309" width="11.6640625" style="366" customWidth="1"/>
    <col min="13310" max="13310" width="4.21875" style="366" customWidth="1"/>
    <col min="13311" max="13311" width="9.6640625" style="366" customWidth="1"/>
    <col min="13312" max="13312" width="11.5546875" style="366" customWidth="1"/>
    <col min="13313" max="13552" width="8.88671875" style="366"/>
    <col min="13553" max="13553" width="8.5546875" style="366" customWidth="1"/>
    <col min="13554" max="13554" width="6.33203125" style="366" customWidth="1"/>
    <col min="13555" max="13555" width="11.33203125" style="366" customWidth="1"/>
    <col min="13556" max="13556" width="8" style="366" customWidth="1"/>
    <col min="13557" max="13557" width="11.6640625" style="366" customWidth="1"/>
    <col min="13558" max="13558" width="4.21875" style="366" customWidth="1"/>
    <col min="13559" max="13559" width="9.6640625" style="366" customWidth="1"/>
    <col min="13560" max="13560" width="11.5546875" style="366" customWidth="1"/>
    <col min="13561" max="13561" width="8.5546875" style="366" customWidth="1"/>
    <col min="13562" max="13562" width="6.33203125" style="366" customWidth="1"/>
    <col min="13563" max="13563" width="11.33203125" style="366" customWidth="1"/>
    <col min="13564" max="13564" width="8" style="366" customWidth="1"/>
    <col min="13565" max="13565" width="11.6640625" style="366" customWidth="1"/>
    <col min="13566" max="13566" width="4.21875" style="366" customWidth="1"/>
    <col min="13567" max="13567" width="9.6640625" style="366" customWidth="1"/>
    <col min="13568" max="13568" width="11.5546875" style="366" customWidth="1"/>
    <col min="13569" max="13808" width="8.88671875" style="366"/>
    <col min="13809" max="13809" width="8.5546875" style="366" customWidth="1"/>
    <col min="13810" max="13810" width="6.33203125" style="366" customWidth="1"/>
    <col min="13811" max="13811" width="11.33203125" style="366" customWidth="1"/>
    <col min="13812" max="13812" width="8" style="366" customWidth="1"/>
    <col min="13813" max="13813" width="11.6640625" style="366" customWidth="1"/>
    <col min="13814" max="13814" width="4.21875" style="366" customWidth="1"/>
    <col min="13815" max="13815" width="9.6640625" style="366" customWidth="1"/>
    <col min="13816" max="13816" width="11.5546875" style="366" customWidth="1"/>
    <col min="13817" max="13817" width="8.5546875" style="366" customWidth="1"/>
    <col min="13818" max="13818" width="6.33203125" style="366" customWidth="1"/>
    <col min="13819" max="13819" width="11.33203125" style="366" customWidth="1"/>
    <col min="13820" max="13820" width="8" style="366" customWidth="1"/>
    <col min="13821" max="13821" width="11.6640625" style="366" customWidth="1"/>
    <col min="13822" max="13822" width="4.21875" style="366" customWidth="1"/>
    <col min="13823" max="13823" width="9.6640625" style="366" customWidth="1"/>
    <col min="13824" max="13824" width="11.5546875" style="366" customWidth="1"/>
    <col min="13825" max="14064" width="8.88671875" style="366"/>
    <col min="14065" max="14065" width="8.5546875" style="366" customWidth="1"/>
    <col min="14066" max="14066" width="6.33203125" style="366" customWidth="1"/>
    <col min="14067" max="14067" width="11.33203125" style="366" customWidth="1"/>
    <col min="14068" max="14068" width="8" style="366" customWidth="1"/>
    <col min="14069" max="14069" width="11.6640625" style="366" customWidth="1"/>
    <col min="14070" max="14070" width="4.21875" style="366" customWidth="1"/>
    <col min="14071" max="14071" width="9.6640625" style="366" customWidth="1"/>
    <col min="14072" max="14072" width="11.5546875" style="366" customWidth="1"/>
    <col min="14073" max="14073" width="8.5546875" style="366" customWidth="1"/>
    <col min="14074" max="14074" width="6.33203125" style="366" customWidth="1"/>
    <col min="14075" max="14075" width="11.33203125" style="366" customWidth="1"/>
    <col min="14076" max="14076" width="8" style="366" customWidth="1"/>
    <col min="14077" max="14077" width="11.6640625" style="366" customWidth="1"/>
    <col min="14078" max="14078" width="4.21875" style="366" customWidth="1"/>
    <col min="14079" max="14079" width="9.6640625" style="366" customWidth="1"/>
    <col min="14080" max="14080" width="11.5546875" style="366" customWidth="1"/>
    <col min="14081" max="14320" width="8.88671875" style="366"/>
    <col min="14321" max="14321" width="8.5546875" style="366" customWidth="1"/>
    <col min="14322" max="14322" width="6.33203125" style="366" customWidth="1"/>
    <col min="14323" max="14323" width="11.33203125" style="366" customWidth="1"/>
    <col min="14324" max="14324" width="8" style="366" customWidth="1"/>
    <col min="14325" max="14325" width="11.6640625" style="366" customWidth="1"/>
    <col min="14326" max="14326" width="4.21875" style="366" customWidth="1"/>
    <col min="14327" max="14327" width="9.6640625" style="366" customWidth="1"/>
    <col min="14328" max="14328" width="11.5546875" style="366" customWidth="1"/>
    <col min="14329" max="14329" width="8.5546875" style="366" customWidth="1"/>
    <col min="14330" max="14330" width="6.33203125" style="366" customWidth="1"/>
    <col min="14331" max="14331" width="11.33203125" style="366" customWidth="1"/>
    <col min="14332" max="14332" width="8" style="366" customWidth="1"/>
    <col min="14333" max="14333" width="11.6640625" style="366" customWidth="1"/>
    <col min="14334" max="14334" width="4.21875" style="366" customWidth="1"/>
    <col min="14335" max="14335" width="9.6640625" style="366" customWidth="1"/>
    <col min="14336" max="14336" width="11.5546875" style="366" customWidth="1"/>
    <col min="14337" max="14576" width="8.88671875" style="366"/>
    <col min="14577" max="14577" width="8.5546875" style="366" customWidth="1"/>
    <col min="14578" max="14578" width="6.33203125" style="366" customWidth="1"/>
    <col min="14579" max="14579" width="11.33203125" style="366" customWidth="1"/>
    <col min="14580" max="14580" width="8" style="366" customWidth="1"/>
    <col min="14581" max="14581" width="11.6640625" style="366" customWidth="1"/>
    <col min="14582" max="14582" width="4.21875" style="366" customWidth="1"/>
    <col min="14583" max="14583" width="9.6640625" style="366" customWidth="1"/>
    <col min="14584" max="14584" width="11.5546875" style="366" customWidth="1"/>
    <col min="14585" max="14585" width="8.5546875" style="366" customWidth="1"/>
    <col min="14586" max="14586" width="6.33203125" style="366" customWidth="1"/>
    <col min="14587" max="14587" width="11.33203125" style="366" customWidth="1"/>
    <col min="14588" max="14588" width="8" style="366" customWidth="1"/>
    <col min="14589" max="14589" width="11.6640625" style="366" customWidth="1"/>
    <col min="14590" max="14590" width="4.21875" style="366" customWidth="1"/>
    <col min="14591" max="14591" width="9.6640625" style="366" customWidth="1"/>
    <col min="14592" max="14592" width="11.5546875" style="366" customWidth="1"/>
    <col min="14593" max="14832" width="8.88671875" style="366"/>
    <col min="14833" max="14833" width="8.5546875" style="366" customWidth="1"/>
    <col min="14834" max="14834" width="6.33203125" style="366" customWidth="1"/>
    <col min="14835" max="14835" width="11.33203125" style="366" customWidth="1"/>
    <col min="14836" max="14836" width="8" style="366" customWidth="1"/>
    <col min="14837" max="14837" width="11.6640625" style="366" customWidth="1"/>
    <col min="14838" max="14838" width="4.21875" style="366" customWidth="1"/>
    <col min="14839" max="14839" width="9.6640625" style="366" customWidth="1"/>
    <col min="14840" max="14840" width="11.5546875" style="366" customWidth="1"/>
    <col min="14841" max="14841" width="8.5546875" style="366" customWidth="1"/>
    <col min="14842" max="14842" width="6.33203125" style="366" customWidth="1"/>
    <col min="14843" max="14843" width="11.33203125" style="366" customWidth="1"/>
    <col min="14844" max="14844" width="8" style="366" customWidth="1"/>
    <col min="14845" max="14845" width="11.6640625" style="366" customWidth="1"/>
    <col min="14846" max="14846" width="4.21875" style="366" customWidth="1"/>
    <col min="14847" max="14847" width="9.6640625" style="366" customWidth="1"/>
    <col min="14848" max="14848" width="11.5546875" style="366" customWidth="1"/>
    <col min="14849" max="15088" width="8.88671875" style="366"/>
    <col min="15089" max="15089" width="8.5546875" style="366" customWidth="1"/>
    <col min="15090" max="15090" width="6.33203125" style="366" customWidth="1"/>
    <col min="15091" max="15091" width="11.33203125" style="366" customWidth="1"/>
    <col min="15092" max="15092" width="8" style="366" customWidth="1"/>
    <col min="15093" max="15093" width="11.6640625" style="366" customWidth="1"/>
    <col min="15094" max="15094" width="4.21875" style="366" customWidth="1"/>
    <col min="15095" max="15095" width="9.6640625" style="366" customWidth="1"/>
    <col min="15096" max="15096" width="11.5546875" style="366" customWidth="1"/>
    <col min="15097" max="15097" width="8.5546875" style="366" customWidth="1"/>
    <col min="15098" max="15098" width="6.33203125" style="366" customWidth="1"/>
    <col min="15099" max="15099" width="11.33203125" style="366" customWidth="1"/>
    <col min="15100" max="15100" width="8" style="366" customWidth="1"/>
    <col min="15101" max="15101" width="11.6640625" style="366" customWidth="1"/>
    <col min="15102" max="15102" width="4.21875" style="366" customWidth="1"/>
    <col min="15103" max="15103" width="9.6640625" style="366" customWidth="1"/>
    <col min="15104" max="15104" width="11.5546875" style="366" customWidth="1"/>
    <col min="15105" max="15344" width="8.88671875" style="366"/>
    <col min="15345" max="15345" width="8.5546875" style="366" customWidth="1"/>
    <col min="15346" max="15346" width="6.33203125" style="366" customWidth="1"/>
    <col min="15347" max="15347" width="11.33203125" style="366" customWidth="1"/>
    <col min="15348" max="15348" width="8" style="366" customWidth="1"/>
    <col min="15349" max="15349" width="11.6640625" style="366" customWidth="1"/>
    <col min="15350" max="15350" width="4.21875" style="366" customWidth="1"/>
    <col min="15351" max="15351" width="9.6640625" style="366" customWidth="1"/>
    <col min="15352" max="15352" width="11.5546875" style="366" customWidth="1"/>
    <col min="15353" max="15353" width="8.5546875" style="366" customWidth="1"/>
    <col min="15354" max="15354" width="6.33203125" style="366" customWidth="1"/>
    <col min="15355" max="15355" width="11.33203125" style="366" customWidth="1"/>
    <col min="15356" max="15356" width="8" style="366" customWidth="1"/>
    <col min="15357" max="15357" width="11.6640625" style="366" customWidth="1"/>
    <col min="15358" max="15358" width="4.21875" style="366" customWidth="1"/>
    <col min="15359" max="15359" width="9.6640625" style="366" customWidth="1"/>
    <col min="15360" max="15360" width="11.5546875" style="366" customWidth="1"/>
    <col min="15361" max="15600" width="8.88671875" style="366"/>
    <col min="15601" max="15601" width="8.5546875" style="366" customWidth="1"/>
    <col min="15602" max="15602" width="6.33203125" style="366" customWidth="1"/>
    <col min="15603" max="15603" width="11.33203125" style="366" customWidth="1"/>
    <col min="15604" max="15604" width="8" style="366" customWidth="1"/>
    <col min="15605" max="15605" width="11.6640625" style="366" customWidth="1"/>
    <col min="15606" max="15606" width="4.21875" style="366" customWidth="1"/>
    <col min="15607" max="15607" width="9.6640625" style="366" customWidth="1"/>
    <col min="15608" max="15608" width="11.5546875" style="366" customWidth="1"/>
    <col min="15609" max="15609" width="8.5546875" style="366" customWidth="1"/>
    <col min="15610" max="15610" width="6.33203125" style="366" customWidth="1"/>
    <col min="15611" max="15611" width="11.33203125" style="366" customWidth="1"/>
    <col min="15612" max="15612" width="8" style="366" customWidth="1"/>
    <col min="15613" max="15613" width="11.6640625" style="366" customWidth="1"/>
    <col min="15614" max="15614" width="4.21875" style="366" customWidth="1"/>
    <col min="15615" max="15615" width="9.6640625" style="366" customWidth="1"/>
    <col min="15616" max="15616" width="11.5546875" style="366" customWidth="1"/>
    <col min="15617" max="15856" width="8.88671875" style="366"/>
    <col min="15857" max="15857" width="8.5546875" style="366" customWidth="1"/>
    <col min="15858" max="15858" width="6.33203125" style="366" customWidth="1"/>
    <col min="15859" max="15859" width="11.33203125" style="366" customWidth="1"/>
    <col min="15860" max="15860" width="8" style="366" customWidth="1"/>
    <col min="15861" max="15861" width="11.6640625" style="366" customWidth="1"/>
    <col min="15862" max="15862" width="4.21875" style="366" customWidth="1"/>
    <col min="15863" max="15863" width="9.6640625" style="366" customWidth="1"/>
    <col min="15864" max="15864" width="11.5546875" style="366" customWidth="1"/>
    <col min="15865" max="15865" width="8.5546875" style="366" customWidth="1"/>
    <col min="15866" max="15866" width="6.33203125" style="366" customWidth="1"/>
    <col min="15867" max="15867" width="11.33203125" style="366" customWidth="1"/>
    <col min="15868" max="15868" width="8" style="366" customWidth="1"/>
    <col min="15869" max="15869" width="11.6640625" style="366" customWidth="1"/>
    <col min="15870" max="15870" width="4.21875" style="366" customWidth="1"/>
    <col min="15871" max="15871" width="9.6640625" style="366" customWidth="1"/>
    <col min="15872" max="15872" width="11.5546875" style="366" customWidth="1"/>
    <col min="15873" max="16112" width="8.88671875" style="366"/>
    <col min="16113" max="16113" width="8.5546875" style="366" customWidth="1"/>
    <col min="16114" max="16114" width="6.33203125" style="366" customWidth="1"/>
    <col min="16115" max="16115" width="11.33203125" style="366" customWidth="1"/>
    <col min="16116" max="16116" width="8" style="366" customWidth="1"/>
    <col min="16117" max="16117" width="11.6640625" style="366" customWidth="1"/>
    <col min="16118" max="16118" width="4.21875" style="366" customWidth="1"/>
    <col min="16119" max="16119" width="9.6640625" style="366" customWidth="1"/>
    <col min="16120" max="16120" width="11.5546875" style="366" customWidth="1"/>
    <col min="16121" max="16121" width="8.5546875" style="366" customWidth="1"/>
    <col min="16122" max="16122" width="6.33203125" style="366" customWidth="1"/>
    <col min="16123" max="16123" width="11.33203125" style="366" customWidth="1"/>
    <col min="16124" max="16124" width="8" style="366" customWidth="1"/>
    <col min="16125" max="16125" width="11.6640625" style="366" customWidth="1"/>
    <col min="16126" max="16126" width="4.21875" style="366" customWidth="1"/>
    <col min="16127" max="16127" width="9.6640625" style="366" customWidth="1"/>
    <col min="16128" max="16128" width="11.5546875" style="366" customWidth="1"/>
    <col min="16129" max="16384" width="8.88671875" style="366"/>
  </cols>
  <sheetData>
    <row r="1" spans="1:10" ht="32.1" customHeight="1">
      <c r="A1" s="488"/>
      <c r="B1" s="489"/>
      <c r="C1" s="489"/>
      <c r="D1" s="489"/>
      <c r="E1" s="489"/>
      <c r="F1" s="489"/>
      <c r="G1" s="489"/>
      <c r="H1" s="490"/>
    </row>
    <row r="2" spans="1:10" ht="48" customHeight="1">
      <c r="A2" s="491"/>
      <c r="B2" s="609" t="str">
        <f>TEXT(입력!K2,"yyyy년 m월분")&amp;" 임금명세서"</f>
        <v>2021년 11월분 임금명세서</v>
      </c>
      <c r="C2" s="609"/>
      <c r="D2" s="609"/>
      <c r="E2" s="609"/>
      <c r="F2" s="609"/>
      <c r="G2" s="609"/>
      <c r="H2" s="492"/>
    </row>
    <row r="3" spans="1:10" ht="18.75" customHeight="1">
      <c r="A3" s="491"/>
      <c r="B3" s="471" t="s">
        <v>354</v>
      </c>
      <c r="C3" s="637">
        <f>IFERROR(IF($C$4="","",INDEX(최초임용일,MATCH($C$4,명부,0))),0)</f>
        <v>40970</v>
      </c>
      <c r="D3" s="637"/>
      <c r="E3" s="470"/>
      <c r="F3" s="471" t="s">
        <v>284</v>
      </c>
      <c r="G3" s="487">
        <f>입력!C2</f>
        <v>44517</v>
      </c>
      <c r="H3" s="492"/>
      <c r="J3" s="512" t="s">
        <v>404</v>
      </c>
    </row>
    <row r="4" spans="1:10" ht="24" customHeight="1">
      <c r="A4" s="491"/>
      <c r="B4" s="473" t="s">
        <v>285</v>
      </c>
      <c r="C4" s="707" t="s">
        <v>428</v>
      </c>
      <c r="D4" s="707"/>
      <c r="E4" s="473" t="s">
        <v>286</v>
      </c>
      <c r="F4" s="610" t="str">
        <f>LEFT(J4,2)&amp;"."&amp;MID(J4,3,2)&amp;"."&amp;MID(J4,5,2)</f>
        <v>92.08.23</v>
      </c>
      <c r="G4" s="611"/>
      <c r="H4" s="492"/>
      <c r="J4" s="495" t="str">
        <f>IFERROR(IF(C4="","",INDEX(주민등록번호,MATCH($C$4,명부,0))),0)</f>
        <v>920823-2730000</v>
      </c>
    </row>
    <row r="5" spans="1:10" ht="21.95" customHeight="1">
      <c r="A5" s="491"/>
      <c r="B5" s="473" t="s">
        <v>287</v>
      </c>
      <c r="C5" s="612" t="str">
        <f>학교명</f>
        <v>남산초등학교</v>
      </c>
      <c r="D5" s="612"/>
      <c r="E5" s="473" t="s">
        <v>288</v>
      </c>
      <c r="F5" s="613" t="str">
        <f ca="1">IFERROR(IF(OR(E5="",$C$4=""),"",INDEX(INDIRECT(E5),MATCH($C$4,명부,0))),0)</f>
        <v>돌봄전담사</v>
      </c>
      <c r="G5" s="614"/>
      <c r="H5" s="492"/>
      <c r="J5" s="366" t="str">
        <f>IF($C$4="","",REPLACE(VLOOKUP($C$4,범위,25,FALSE),6,5,"******")&amp;"("&amp;IF($C$4="","",VLOOKUP($C$4,범위,24,FALSE))&amp;")")</f>
        <v>792-1******003(농협)</v>
      </c>
    </row>
    <row r="6" spans="1:10" ht="21.95" customHeight="1">
      <c r="A6" s="491"/>
      <c r="B6" s="484" t="s">
        <v>289</v>
      </c>
      <c r="C6" s="628">
        <f>IFERROR(IF($C$4="","",INDEX(최종근무년수,MATCH($C$4,명부,0))),0)</f>
        <v>12</v>
      </c>
      <c r="D6" s="628"/>
      <c r="E6" s="473" t="s">
        <v>290</v>
      </c>
      <c r="F6" s="613" t="str">
        <f ca="1">IFERROR(IF(OR(E6="",$C$4=""),"",INDEX(INDIRECT(E6),MATCH($C$4,명부,0))),0)</f>
        <v>배우자 1명, 직계존속 1명</v>
      </c>
      <c r="G6" s="614"/>
      <c r="H6" s="492"/>
    </row>
    <row r="7" spans="1:10" ht="9.75" customHeight="1">
      <c r="A7" s="491"/>
      <c r="B7" s="472"/>
      <c r="C7" s="472"/>
      <c r="D7" s="470"/>
      <c r="E7" s="470"/>
      <c r="F7" s="470"/>
      <c r="G7" s="470"/>
      <c r="H7" s="492"/>
    </row>
    <row r="8" spans="1:10" ht="22.5" customHeight="1">
      <c r="A8" s="491"/>
      <c r="B8" s="617" t="s">
        <v>291</v>
      </c>
      <c r="C8" s="617"/>
      <c r="D8" s="617"/>
      <c r="E8" s="617"/>
      <c r="F8" s="617"/>
      <c r="G8" s="617"/>
      <c r="H8" s="492"/>
    </row>
    <row r="9" spans="1:10" ht="20.100000000000001" customHeight="1">
      <c r="A9" s="491"/>
      <c r="B9" s="618" t="s">
        <v>292</v>
      </c>
      <c r="C9" s="618"/>
      <c r="D9" s="618"/>
      <c r="E9" s="618"/>
      <c r="F9" s="619" t="s">
        <v>293</v>
      </c>
      <c r="G9" s="620"/>
      <c r="H9" s="492"/>
    </row>
    <row r="10" spans="1:10" ht="20.100000000000001" customHeight="1">
      <c r="A10" s="491"/>
      <c r="B10" s="613" t="s">
        <v>294</v>
      </c>
      <c r="C10" s="621"/>
      <c r="D10" s="614"/>
      <c r="E10" s="473" t="s">
        <v>295</v>
      </c>
      <c r="F10" s="473" t="s">
        <v>296</v>
      </c>
      <c r="G10" s="473" t="s">
        <v>297</v>
      </c>
      <c r="H10" s="492"/>
    </row>
    <row r="11" spans="1:10" ht="20.100000000000001" customHeight="1">
      <c r="A11" s="491"/>
      <c r="B11" s="622" t="s">
        <v>298</v>
      </c>
      <c r="C11" s="623"/>
      <c r="D11" s="480" t="s">
        <v>299</v>
      </c>
      <c r="E11" s="481">
        <f t="shared" ref="E11:E27" ca="1" si="0">IFERROR(IF(OR(D11="",$C$4=""),"",INDEX(INDIRECT(D11),MATCH($C$4,명부,0))),0)</f>
        <v>1150000</v>
      </c>
      <c r="F11" s="480" t="s">
        <v>300</v>
      </c>
      <c r="G11" s="481">
        <f t="shared" ref="G11:G27" ca="1" si="1">IFERROR(IF(OR(F11="",$C$4=""),"",INDEX(INDIRECT(F11),MATCH($C$4,명부,0))),0)</f>
        <v>0</v>
      </c>
      <c r="H11" s="492"/>
    </row>
    <row r="12" spans="1:10" ht="20.100000000000001" customHeight="1">
      <c r="A12" s="491"/>
      <c r="B12" s="624"/>
      <c r="C12" s="625"/>
      <c r="D12" s="480" t="s">
        <v>301</v>
      </c>
      <c r="E12" s="481">
        <f t="shared" ca="1" si="0"/>
        <v>262500</v>
      </c>
      <c r="F12" s="480" t="s">
        <v>302</v>
      </c>
      <c r="G12" s="481">
        <f t="shared" ca="1" si="1"/>
        <v>0</v>
      </c>
      <c r="H12" s="492"/>
    </row>
    <row r="13" spans="1:10" ht="20.100000000000001" customHeight="1">
      <c r="A13" s="491"/>
      <c r="B13" s="624"/>
      <c r="C13" s="625"/>
      <c r="D13" s="480" t="s">
        <v>303</v>
      </c>
      <c r="E13" s="481">
        <f t="shared" ca="1" si="0"/>
        <v>140000</v>
      </c>
      <c r="F13" s="480" t="s">
        <v>304</v>
      </c>
      <c r="G13" s="481">
        <f t="shared" ca="1" si="1"/>
        <v>69790</v>
      </c>
      <c r="H13" s="492"/>
    </row>
    <row r="14" spans="1:10" ht="20.100000000000001" customHeight="1">
      <c r="A14" s="491"/>
      <c r="B14" s="624"/>
      <c r="C14" s="625"/>
      <c r="D14" s="480" t="s">
        <v>305</v>
      </c>
      <c r="E14" s="481">
        <f t="shared" ca="1" si="0"/>
        <v>0</v>
      </c>
      <c r="F14" s="480" t="s">
        <v>306</v>
      </c>
      <c r="G14" s="481">
        <f t="shared" ca="1" si="1"/>
        <v>54100</v>
      </c>
      <c r="H14" s="492"/>
    </row>
    <row r="15" spans="1:10" ht="20.100000000000001" customHeight="1">
      <c r="A15" s="491"/>
      <c r="B15" s="624"/>
      <c r="C15" s="625"/>
      <c r="D15" s="480" t="s">
        <v>307</v>
      </c>
      <c r="E15" s="481">
        <f t="shared" ca="1" si="0"/>
        <v>0</v>
      </c>
      <c r="F15" s="480" t="s">
        <v>342</v>
      </c>
      <c r="G15" s="481">
        <f t="shared" ca="1" si="1"/>
        <v>6230</v>
      </c>
      <c r="H15" s="492"/>
    </row>
    <row r="16" spans="1:10" ht="20.100000000000001" customHeight="1">
      <c r="A16" s="491"/>
      <c r="B16" s="624"/>
      <c r="C16" s="625"/>
      <c r="D16" s="480" t="s">
        <v>362</v>
      </c>
      <c r="E16" s="481">
        <f t="shared" ca="1" si="0"/>
        <v>0</v>
      </c>
      <c r="F16" s="480" t="s">
        <v>343</v>
      </c>
      <c r="G16" s="481">
        <f t="shared" ca="1" si="1"/>
        <v>12610</v>
      </c>
      <c r="H16" s="492"/>
    </row>
    <row r="17" spans="1:10" ht="20.100000000000001" customHeight="1">
      <c r="A17" s="491"/>
      <c r="B17" s="624"/>
      <c r="C17" s="625"/>
      <c r="D17" s="480" t="s">
        <v>340</v>
      </c>
      <c r="E17" s="481">
        <f t="shared" ca="1" si="0"/>
        <v>0</v>
      </c>
      <c r="F17" s="480" t="s">
        <v>308</v>
      </c>
      <c r="G17" s="481">
        <f t="shared" ca="1" si="1"/>
        <v>0</v>
      </c>
      <c r="H17" s="492"/>
    </row>
    <row r="18" spans="1:10" ht="20.100000000000001" customHeight="1">
      <c r="A18" s="491"/>
      <c r="B18" s="624"/>
      <c r="C18" s="625"/>
      <c r="D18" s="480" t="s">
        <v>309</v>
      </c>
      <c r="E18" s="481">
        <f t="shared" ca="1" si="0"/>
        <v>0</v>
      </c>
      <c r="F18" s="480" t="s">
        <v>65</v>
      </c>
      <c r="G18" s="481">
        <f t="shared" ca="1" si="1"/>
        <v>0</v>
      </c>
      <c r="H18" s="492"/>
    </row>
    <row r="19" spans="1:10" ht="20.100000000000001" customHeight="1">
      <c r="A19" s="491"/>
      <c r="B19" s="624"/>
      <c r="C19" s="625"/>
      <c r="D19" s="480" t="s">
        <v>363</v>
      </c>
      <c r="E19" s="481">
        <f t="shared" ca="1" si="0"/>
        <v>0</v>
      </c>
      <c r="F19" s="480" t="s">
        <v>353</v>
      </c>
      <c r="G19" s="481">
        <f t="shared" ca="1" si="1"/>
        <v>0</v>
      </c>
      <c r="H19" s="492"/>
    </row>
    <row r="20" spans="1:10" ht="20.100000000000001" customHeight="1">
      <c r="A20" s="491"/>
      <c r="B20" s="624"/>
      <c r="C20" s="625"/>
      <c r="D20" s="480" t="s">
        <v>311</v>
      </c>
      <c r="E20" s="481">
        <f t="shared" ca="1" si="0"/>
        <v>0</v>
      </c>
      <c r="F20" s="480" t="s">
        <v>352</v>
      </c>
      <c r="G20" s="481">
        <f t="shared" ca="1" si="1"/>
        <v>0</v>
      </c>
      <c r="H20" s="492"/>
    </row>
    <row r="21" spans="1:10" ht="20.100000000000001" customHeight="1">
      <c r="A21" s="491"/>
      <c r="B21" s="624"/>
      <c r="C21" s="625"/>
      <c r="D21" s="480" t="s">
        <v>202</v>
      </c>
      <c r="E21" s="481">
        <f t="shared" ca="1" si="0"/>
        <v>37500</v>
      </c>
      <c r="F21" s="480" t="s">
        <v>347</v>
      </c>
      <c r="G21" s="481">
        <f t="shared" ca="1" si="1"/>
        <v>0</v>
      </c>
      <c r="H21" s="492"/>
    </row>
    <row r="22" spans="1:10" ht="20.100000000000001" customHeight="1">
      <c r="A22" s="491"/>
      <c r="B22" s="626"/>
      <c r="C22" s="627"/>
      <c r="D22" s="480"/>
      <c r="E22" s="481" t="str">
        <f t="shared" ca="1" si="0"/>
        <v/>
      </c>
      <c r="F22" s="480" t="s">
        <v>348</v>
      </c>
      <c r="G22" s="481">
        <f t="shared" ca="1" si="1"/>
        <v>0</v>
      </c>
      <c r="H22" s="492"/>
    </row>
    <row r="23" spans="1:10" ht="20.100000000000001" customHeight="1">
      <c r="A23" s="491"/>
      <c r="B23" s="612" t="s">
        <v>312</v>
      </c>
      <c r="C23" s="612"/>
      <c r="D23" s="480" t="s">
        <v>313</v>
      </c>
      <c r="E23" s="481">
        <f t="shared" ca="1" si="0"/>
        <v>0</v>
      </c>
      <c r="F23" s="480"/>
      <c r="G23" s="481" t="str">
        <f t="shared" ca="1" si="1"/>
        <v/>
      </c>
      <c r="H23" s="492"/>
    </row>
    <row r="24" spans="1:10" ht="20.100000000000001" customHeight="1">
      <c r="A24" s="491"/>
      <c r="B24" s="612"/>
      <c r="C24" s="612"/>
      <c r="D24" s="480" t="s">
        <v>314</v>
      </c>
      <c r="E24" s="481">
        <f t="shared" ca="1" si="0"/>
        <v>0</v>
      </c>
      <c r="F24" s="480"/>
      <c r="G24" s="481" t="str">
        <f t="shared" ca="1" si="1"/>
        <v/>
      </c>
      <c r="H24" s="492"/>
    </row>
    <row r="25" spans="1:10" ht="20.100000000000001" customHeight="1">
      <c r="A25" s="491"/>
      <c r="B25" s="612"/>
      <c r="C25" s="612"/>
      <c r="D25" s="480" t="s">
        <v>346</v>
      </c>
      <c r="E25" s="481">
        <f t="shared" ca="1" si="0"/>
        <v>0</v>
      </c>
      <c r="F25" s="480"/>
      <c r="G25" s="481" t="str">
        <f t="shared" ca="1" si="1"/>
        <v/>
      </c>
      <c r="H25" s="492"/>
    </row>
    <row r="26" spans="1:10" ht="20.100000000000001" customHeight="1">
      <c r="A26" s="491"/>
      <c r="B26" s="612"/>
      <c r="C26" s="612"/>
      <c r="D26" s="480" t="s">
        <v>345</v>
      </c>
      <c r="E26" s="481">
        <f t="shared" ca="1" si="0"/>
        <v>0</v>
      </c>
      <c r="F26" s="480"/>
      <c r="G26" s="481" t="str">
        <f t="shared" ca="1" si="1"/>
        <v/>
      </c>
      <c r="H26" s="492"/>
    </row>
    <row r="27" spans="1:10" ht="20.100000000000001" customHeight="1">
      <c r="A27" s="491"/>
      <c r="B27" s="612"/>
      <c r="C27" s="612"/>
      <c r="D27" s="480"/>
      <c r="E27" s="481" t="str">
        <f t="shared" ca="1" si="0"/>
        <v/>
      </c>
      <c r="F27" s="480"/>
      <c r="G27" s="481" t="str">
        <f t="shared" ca="1" si="1"/>
        <v/>
      </c>
      <c r="H27" s="492"/>
      <c r="J27" s="485" t="str">
        <f>C4</f>
        <v>행정실3</v>
      </c>
    </row>
    <row r="28" spans="1:10" ht="20.100000000000001" customHeight="1">
      <c r="A28" s="491"/>
      <c r="B28" s="613" t="s">
        <v>424</v>
      </c>
      <c r="C28" s="621"/>
      <c r="D28" s="614"/>
      <c r="E28" s="474">
        <f ca="1">SUM(E11:E27)</f>
        <v>1590000</v>
      </c>
      <c r="F28" s="480" t="s">
        <v>315</v>
      </c>
      <c r="G28" s="474">
        <f ca="1">SUM(G11:G27)</f>
        <v>142730</v>
      </c>
      <c r="H28" s="492"/>
      <c r="J28" s="485" t="str">
        <f ca="1">IF(G29=J29,"맞음","틀림:수당과 공제 확인요망")</f>
        <v>맞음</v>
      </c>
    </row>
    <row r="29" spans="1:10" ht="20.100000000000001" customHeight="1">
      <c r="A29" s="491"/>
      <c r="B29" s="470"/>
      <c r="C29" s="470"/>
      <c r="D29" s="475"/>
      <c r="E29" s="475"/>
      <c r="F29" s="482" t="s">
        <v>316</v>
      </c>
      <c r="G29" s="483">
        <f ca="1">E28-G28</f>
        <v>1447270</v>
      </c>
      <c r="H29" s="492"/>
      <c r="J29" s="496">
        <f>IFERROR(IF($C$4="","",INDEX(실수령액,MATCH($C$4,명부,0))),0)</f>
        <v>1447270</v>
      </c>
    </row>
    <row r="30" spans="1:10" ht="15.95" customHeight="1">
      <c r="A30" s="491"/>
      <c r="B30" s="470"/>
      <c r="C30" s="470"/>
      <c r="D30" s="470"/>
      <c r="E30" s="470"/>
      <c r="F30" s="470"/>
      <c r="G30" s="470"/>
      <c r="H30" s="492"/>
    </row>
    <row r="31" spans="1:10" ht="20.100000000000001" customHeight="1">
      <c r="A31" s="491"/>
      <c r="B31" s="629" t="s">
        <v>317</v>
      </c>
      <c r="C31" s="630"/>
      <c r="D31" s="476" t="s">
        <v>318</v>
      </c>
      <c r="E31" s="476" t="s">
        <v>319</v>
      </c>
      <c r="F31" s="476" t="s">
        <v>320</v>
      </c>
      <c r="G31" s="476" t="s">
        <v>321</v>
      </c>
      <c r="H31" s="492"/>
    </row>
    <row r="32" spans="1:10" ht="20.100000000000001" customHeight="1">
      <c r="A32" s="491"/>
      <c r="B32" s="631"/>
      <c r="C32" s="632"/>
      <c r="D32" s="477"/>
      <c r="E32" s="477"/>
      <c r="F32" s="478"/>
      <c r="G32" s="478"/>
      <c r="H32" s="492"/>
    </row>
    <row r="33" spans="1:10" ht="9.75" customHeight="1">
      <c r="A33" s="491"/>
      <c r="B33" s="470"/>
      <c r="C33" s="470"/>
      <c r="D33" s="470"/>
      <c r="E33" s="470"/>
      <c r="F33" s="470"/>
      <c r="G33" s="470"/>
      <c r="H33" s="492"/>
    </row>
    <row r="34" spans="1:10" ht="20.100000000000001" customHeight="1">
      <c r="A34" s="491"/>
      <c r="B34" s="633" t="s">
        <v>322</v>
      </c>
      <c r="C34" s="633"/>
      <c r="D34" s="633"/>
      <c r="E34" s="633"/>
      <c r="F34" s="633"/>
      <c r="G34" s="633"/>
      <c r="H34" s="492"/>
    </row>
    <row r="35" spans="1:10" ht="20.100000000000001" customHeight="1">
      <c r="A35" s="491"/>
      <c r="B35" s="615" t="s">
        <v>323</v>
      </c>
      <c r="C35" s="616"/>
      <c r="D35" s="612" t="s">
        <v>324</v>
      </c>
      <c r="E35" s="612"/>
      <c r="F35" s="612"/>
      <c r="G35" s="473" t="s">
        <v>325</v>
      </c>
      <c r="H35" s="492"/>
    </row>
    <row r="36" spans="1:10" ht="20.100000000000001" customHeight="1">
      <c r="A36" s="491"/>
      <c r="B36" s="642" t="s">
        <v>326</v>
      </c>
      <c r="C36" s="643"/>
      <c r="D36" s="613" t="s">
        <v>403</v>
      </c>
      <c r="E36" s="621"/>
      <c r="F36" s="614"/>
      <c r="G36" s="481"/>
      <c r="H36" s="492"/>
      <c r="J36" s="366" t="s">
        <v>402</v>
      </c>
    </row>
    <row r="37" spans="1:10" ht="20.100000000000001" customHeight="1">
      <c r="A37" s="491"/>
      <c r="B37" s="644"/>
      <c r="C37" s="645"/>
      <c r="D37" s="613" t="s">
        <v>327</v>
      </c>
      <c r="E37" s="621"/>
      <c r="F37" s="614"/>
      <c r="G37" s="481"/>
      <c r="H37" s="492"/>
    </row>
    <row r="38" spans="1:10" ht="20.100000000000001" customHeight="1">
      <c r="A38" s="491"/>
      <c r="B38" s="615" t="s">
        <v>328</v>
      </c>
      <c r="C38" s="616"/>
      <c r="D38" s="613" t="s">
        <v>329</v>
      </c>
      <c r="E38" s="621"/>
      <c r="F38" s="614"/>
      <c r="G38" s="481"/>
      <c r="H38" s="492"/>
    </row>
    <row r="39" spans="1:10" ht="20.100000000000001" customHeight="1">
      <c r="A39" s="491"/>
      <c r="B39" s="615" t="s">
        <v>311</v>
      </c>
      <c r="C39" s="616"/>
      <c r="D39" s="613" t="s">
        <v>330</v>
      </c>
      <c r="E39" s="621"/>
      <c r="F39" s="614"/>
      <c r="G39" s="481"/>
      <c r="H39" s="492"/>
    </row>
    <row r="40" spans="1:10" ht="20.100000000000001" customHeight="1">
      <c r="A40" s="491"/>
      <c r="B40" s="638" t="s">
        <v>331</v>
      </c>
      <c r="C40" s="638"/>
      <c r="D40" s="612" t="str">
        <f>IF($C$4="김미숙",0,"※ 경력산정기준일: "&amp;IF(IF($C$4="","",INDEX(최종근무월,MATCH($C$4,명부,0)))&gt;=6,"매년 9. 1.","매년 3. 1."))</f>
        <v>※ 경력산정기준일: 매년 9. 1.</v>
      </c>
      <c r="E40" s="612"/>
      <c r="F40" s="612"/>
      <c r="G40" s="481">
        <f ca="1">IFERROR(IF(OR(D12="",$C$4=""),"",INDEX(INDIRECT(D12),MATCH($C$4,명부,0))),0)</f>
        <v>262500</v>
      </c>
      <c r="H40" s="492"/>
      <c r="J40" s="366" t="s">
        <v>355</v>
      </c>
    </row>
    <row r="41" spans="1:10" ht="20.100000000000001" customHeight="1">
      <c r="A41" s="491"/>
      <c r="B41" s="615" t="s">
        <v>332</v>
      </c>
      <c r="C41" s="616"/>
      <c r="D41" s="639" t="s">
        <v>333</v>
      </c>
      <c r="E41" s="640"/>
      <c r="F41" s="641"/>
      <c r="G41" s="481">
        <f ca="1">IFERROR(IF(OR(D21="",$C$4=""),"",INDEX(INDIRECT(D21),MATCH($C$4,명부,0))),0)</f>
        <v>37500</v>
      </c>
      <c r="H41" s="492"/>
      <c r="J41" s="366" t="s">
        <v>401</v>
      </c>
    </row>
    <row r="42" spans="1:10" ht="20.100000000000001" customHeight="1">
      <c r="A42" s="491"/>
      <c r="B42" s="638"/>
      <c r="C42" s="638"/>
      <c r="D42" s="613"/>
      <c r="E42" s="621"/>
      <c r="F42" s="614"/>
      <c r="G42" s="481"/>
      <c r="H42" s="492"/>
    </row>
    <row r="43" spans="1:10" ht="20.100000000000001" customHeight="1">
      <c r="A43" s="491"/>
      <c r="B43" s="634"/>
      <c r="C43" s="635"/>
      <c r="D43" s="631"/>
      <c r="E43" s="636"/>
      <c r="F43" s="632"/>
      <c r="G43" s="481"/>
      <c r="H43" s="492"/>
    </row>
    <row r="44" spans="1:10" ht="4.5" customHeight="1">
      <c r="A44" s="491"/>
      <c r="B44" s="470"/>
      <c r="C44" s="470"/>
      <c r="D44" s="470"/>
      <c r="E44" s="470"/>
      <c r="F44" s="470"/>
      <c r="G44" s="470"/>
      <c r="H44" s="492"/>
    </row>
    <row r="45" spans="1:10" ht="15.95" customHeight="1">
      <c r="A45" s="491"/>
      <c r="B45" s="470" t="s">
        <v>334</v>
      </c>
      <c r="C45" s="470"/>
      <c r="D45" s="470"/>
      <c r="E45" s="470"/>
      <c r="F45" s="470"/>
      <c r="G45" s="470"/>
      <c r="H45" s="492"/>
    </row>
    <row r="46" spans="1:10" ht="15.95" customHeight="1">
      <c r="A46" s="491"/>
      <c r="B46" s="472" t="s">
        <v>335</v>
      </c>
      <c r="C46" s="470"/>
      <c r="D46" s="470"/>
      <c r="E46" s="470"/>
      <c r="F46" s="470"/>
      <c r="G46" s="470"/>
      <c r="H46" s="492"/>
    </row>
    <row r="47" spans="1:10" ht="15.95" customHeight="1">
      <c r="A47" s="491"/>
      <c r="B47" s="470" t="s">
        <v>336</v>
      </c>
      <c r="C47" s="470"/>
      <c r="D47" s="470"/>
      <c r="E47" s="470"/>
      <c r="F47" s="470"/>
      <c r="G47" s="470"/>
      <c r="H47" s="492"/>
    </row>
    <row r="48" spans="1:10" ht="15.95" customHeight="1">
      <c r="A48" s="491"/>
      <c r="B48" s="470"/>
      <c r="C48" s="470"/>
      <c r="D48" s="470"/>
      <c r="E48" s="470"/>
      <c r="F48" s="470"/>
      <c r="G48" s="470"/>
      <c r="H48" s="492"/>
    </row>
    <row r="49" spans="1:8" ht="20.25" customHeight="1">
      <c r="A49" s="491"/>
      <c r="B49" s="470"/>
      <c r="C49" s="470"/>
      <c r="D49" s="470"/>
      <c r="E49" s="471" t="s">
        <v>337</v>
      </c>
      <c r="F49" s="708" t="str">
        <f>C4</f>
        <v>행정실3</v>
      </c>
      <c r="G49" s="486" t="s">
        <v>341</v>
      </c>
      <c r="H49" s="492"/>
    </row>
    <row r="50" spans="1:8" ht="15.95" customHeight="1">
      <c r="A50" s="491"/>
      <c r="B50" s="470"/>
      <c r="C50" s="470"/>
      <c r="D50" s="470"/>
      <c r="E50" s="470"/>
      <c r="F50" s="470"/>
      <c r="G50" s="470"/>
      <c r="H50" s="492"/>
    </row>
    <row r="51" spans="1:8" ht="15.95" customHeight="1" thickBot="1">
      <c r="A51" s="493"/>
      <c r="B51" s="479"/>
      <c r="C51" s="479"/>
      <c r="D51" s="479"/>
      <c r="E51" s="479"/>
      <c r="F51" s="479"/>
      <c r="G51" s="479"/>
      <c r="H51" s="494"/>
    </row>
    <row r="52" spans="1:8" ht="15.95" customHeight="1"/>
  </sheetData>
  <mergeCells count="35">
    <mergeCell ref="B43:C43"/>
    <mergeCell ref="D43:F43"/>
    <mergeCell ref="C3:D3"/>
    <mergeCell ref="B40:C40"/>
    <mergeCell ref="D40:F40"/>
    <mergeCell ref="B41:C41"/>
    <mergeCell ref="D41:F41"/>
    <mergeCell ref="B42:C42"/>
    <mergeCell ref="D42:F42"/>
    <mergeCell ref="B36:C37"/>
    <mergeCell ref="D36:F36"/>
    <mergeCell ref="D37:F37"/>
    <mergeCell ref="B38:C38"/>
    <mergeCell ref="D38:F38"/>
    <mergeCell ref="B39:C39"/>
    <mergeCell ref="D39:F39"/>
    <mergeCell ref="B35:C35"/>
    <mergeCell ref="D35:F35"/>
    <mergeCell ref="F6:G6"/>
    <mergeCell ref="B8:G8"/>
    <mergeCell ref="B9:E9"/>
    <mergeCell ref="F9:G9"/>
    <mergeCell ref="B10:D10"/>
    <mergeCell ref="B11:C22"/>
    <mergeCell ref="C6:D6"/>
    <mergeCell ref="B23:C27"/>
    <mergeCell ref="B28:D28"/>
    <mergeCell ref="B31:C31"/>
    <mergeCell ref="B32:C32"/>
    <mergeCell ref="B34:G34"/>
    <mergeCell ref="B2:G2"/>
    <mergeCell ref="C4:D4"/>
    <mergeCell ref="F4:G4"/>
    <mergeCell ref="C5:D5"/>
    <mergeCell ref="F5:G5"/>
  </mergeCells>
  <phoneticPr fontId="3" type="noConversion"/>
  <dataValidations count="3">
    <dataValidation type="list" allowBlank="1" showInputMessage="1" showErrorMessage="1" sqref="IK65536 SG65536 ACC65536 ALY65536 AVU65536 BFQ65536 BPM65536 BZI65536 CJE65536 CTA65536 DCW65536 DMS65536 DWO65536 EGK65536 EQG65536 FAC65536 FJY65536 FTU65536 GDQ65536 GNM65536 GXI65536 HHE65536 HRA65536 IAW65536 IKS65536 IUO65536 JEK65536 JOG65536 JYC65536 KHY65536 KRU65536 LBQ65536 LLM65536 LVI65536 MFE65536 MPA65536 MYW65536 NIS65536 NSO65536 OCK65536 OMG65536 OWC65536 PFY65536 PPU65536 PZQ65536 QJM65536 QTI65536 RDE65536 RNA65536 RWW65536 SGS65536 SQO65536 TAK65536 TKG65536 TUC65536 UDY65536 UNU65536 UXQ65536 VHM65536 VRI65536 WBE65536 WLA65536 WUW65536 IK131072 SG131072 ACC131072 ALY131072 AVU131072 BFQ131072 BPM131072 BZI131072 CJE131072 CTA131072 DCW131072 DMS131072 DWO131072 EGK131072 EQG131072 FAC131072 FJY131072 FTU131072 GDQ131072 GNM131072 GXI131072 HHE131072 HRA131072 IAW131072 IKS131072 IUO131072 JEK131072 JOG131072 JYC131072 KHY131072 KRU131072 LBQ131072 LLM131072 LVI131072 MFE131072 MPA131072 MYW131072 NIS131072 NSO131072 OCK131072 OMG131072 OWC131072 PFY131072 PPU131072 PZQ131072 QJM131072 QTI131072 RDE131072 RNA131072 RWW131072 SGS131072 SQO131072 TAK131072 TKG131072 TUC131072 UDY131072 UNU131072 UXQ131072 VHM131072 VRI131072 WBE131072 WLA131072 WUW131072 IK196608 SG196608 ACC196608 ALY196608 AVU196608 BFQ196608 BPM196608 BZI196608 CJE196608 CTA196608 DCW196608 DMS196608 DWO196608 EGK196608 EQG196608 FAC196608 FJY196608 FTU196608 GDQ196608 GNM196608 GXI196608 HHE196608 HRA196608 IAW196608 IKS196608 IUO196608 JEK196608 JOG196608 JYC196608 KHY196608 KRU196608 LBQ196608 LLM196608 LVI196608 MFE196608 MPA196608 MYW196608 NIS196608 NSO196608 OCK196608 OMG196608 OWC196608 PFY196608 PPU196608 PZQ196608 QJM196608 QTI196608 RDE196608 RNA196608 RWW196608 SGS196608 SQO196608 TAK196608 TKG196608 TUC196608 UDY196608 UNU196608 UXQ196608 VHM196608 VRI196608 WBE196608 WLA196608 WUW196608 IK262144 SG262144 ACC262144 ALY262144 AVU262144 BFQ262144 BPM262144 BZI262144 CJE262144 CTA262144 DCW262144 DMS262144 DWO262144 EGK262144 EQG262144 FAC262144 FJY262144 FTU262144 GDQ262144 GNM262144 GXI262144 HHE262144 HRA262144 IAW262144 IKS262144 IUO262144 JEK262144 JOG262144 JYC262144 KHY262144 KRU262144 LBQ262144 LLM262144 LVI262144 MFE262144 MPA262144 MYW262144 NIS262144 NSO262144 OCK262144 OMG262144 OWC262144 PFY262144 PPU262144 PZQ262144 QJM262144 QTI262144 RDE262144 RNA262144 RWW262144 SGS262144 SQO262144 TAK262144 TKG262144 TUC262144 UDY262144 UNU262144 UXQ262144 VHM262144 VRI262144 WBE262144 WLA262144 WUW262144 IK327680 SG327680 ACC327680 ALY327680 AVU327680 BFQ327680 BPM327680 BZI327680 CJE327680 CTA327680 DCW327680 DMS327680 DWO327680 EGK327680 EQG327680 FAC327680 FJY327680 FTU327680 GDQ327680 GNM327680 GXI327680 HHE327680 HRA327680 IAW327680 IKS327680 IUO327680 JEK327680 JOG327680 JYC327680 KHY327680 KRU327680 LBQ327680 LLM327680 LVI327680 MFE327680 MPA327680 MYW327680 NIS327680 NSO327680 OCK327680 OMG327680 OWC327680 PFY327680 PPU327680 PZQ327680 QJM327680 QTI327680 RDE327680 RNA327680 RWW327680 SGS327680 SQO327680 TAK327680 TKG327680 TUC327680 UDY327680 UNU327680 UXQ327680 VHM327680 VRI327680 WBE327680 WLA327680 WUW327680 IK393216 SG393216 ACC393216 ALY393216 AVU393216 BFQ393216 BPM393216 BZI393216 CJE393216 CTA393216 DCW393216 DMS393216 DWO393216 EGK393216 EQG393216 FAC393216 FJY393216 FTU393216 GDQ393216 GNM393216 GXI393216 HHE393216 HRA393216 IAW393216 IKS393216 IUO393216 JEK393216 JOG393216 JYC393216 KHY393216 KRU393216 LBQ393216 LLM393216 LVI393216 MFE393216 MPA393216 MYW393216 NIS393216 NSO393216 OCK393216 OMG393216 OWC393216 PFY393216 PPU393216 PZQ393216 QJM393216 QTI393216 RDE393216 RNA393216 RWW393216 SGS393216 SQO393216 TAK393216 TKG393216 TUC393216 UDY393216 UNU393216 UXQ393216 VHM393216 VRI393216 WBE393216 WLA393216 WUW393216 IK458752 SG458752 ACC458752 ALY458752 AVU458752 BFQ458752 BPM458752 BZI458752 CJE458752 CTA458752 DCW458752 DMS458752 DWO458752 EGK458752 EQG458752 FAC458752 FJY458752 FTU458752 GDQ458752 GNM458752 GXI458752 HHE458752 HRA458752 IAW458752 IKS458752 IUO458752 JEK458752 JOG458752 JYC458752 KHY458752 KRU458752 LBQ458752 LLM458752 LVI458752 MFE458752 MPA458752 MYW458752 NIS458752 NSO458752 OCK458752 OMG458752 OWC458752 PFY458752 PPU458752 PZQ458752 QJM458752 QTI458752 RDE458752 RNA458752 RWW458752 SGS458752 SQO458752 TAK458752 TKG458752 TUC458752 UDY458752 UNU458752 UXQ458752 VHM458752 VRI458752 WBE458752 WLA458752 WUW458752 IK524288 SG524288 ACC524288 ALY524288 AVU524288 BFQ524288 BPM524288 BZI524288 CJE524288 CTA524288 DCW524288 DMS524288 DWO524288 EGK524288 EQG524288 FAC524288 FJY524288 FTU524288 GDQ524288 GNM524288 GXI524288 HHE524288 HRA524288 IAW524288 IKS524288 IUO524288 JEK524288 JOG524288 JYC524288 KHY524288 KRU524288 LBQ524288 LLM524288 LVI524288 MFE524288 MPA524288 MYW524288 NIS524288 NSO524288 OCK524288 OMG524288 OWC524288 PFY524288 PPU524288 PZQ524288 QJM524288 QTI524288 RDE524288 RNA524288 RWW524288 SGS524288 SQO524288 TAK524288 TKG524288 TUC524288 UDY524288 UNU524288 UXQ524288 VHM524288 VRI524288 WBE524288 WLA524288 WUW524288 IK589824 SG589824 ACC589824 ALY589824 AVU589824 BFQ589824 BPM589824 BZI589824 CJE589824 CTA589824 DCW589824 DMS589824 DWO589824 EGK589824 EQG589824 FAC589824 FJY589824 FTU589824 GDQ589824 GNM589824 GXI589824 HHE589824 HRA589824 IAW589824 IKS589824 IUO589824 JEK589824 JOG589824 JYC589824 KHY589824 KRU589824 LBQ589824 LLM589824 LVI589824 MFE589824 MPA589824 MYW589824 NIS589824 NSO589824 OCK589824 OMG589824 OWC589824 PFY589824 PPU589824 PZQ589824 QJM589824 QTI589824 RDE589824 RNA589824 RWW589824 SGS589824 SQO589824 TAK589824 TKG589824 TUC589824 UDY589824 UNU589824 UXQ589824 VHM589824 VRI589824 WBE589824 WLA589824 WUW589824 IK655360 SG655360 ACC655360 ALY655360 AVU655360 BFQ655360 BPM655360 BZI655360 CJE655360 CTA655360 DCW655360 DMS655360 DWO655360 EGK655360 EQG655360 FAC655360 FJY655360 FTU655360 GDQ655360 GNM655360 GXI655360 HHE655360 HRA655360 IAW655360 IKS655360 IUO655360 JEK655360 JOG655360 JYC655360 KHY655360 KRU655360 LBQ655360 LLM655360 LVI655360 MFE655360 MPA655360 MYW655360 NIS655360 NSO655360 OCK655360 OMG655360 OWC655360 PFY655360 PPU655360 PZQ655360 QJM655360 QTI655360 RDE655360 RNA655360 RWW655360 SGS655360 SQO655360 TAK655360 TKG655360 TUC655360 UDY655360 UNU655360 UXQ655360 VHM655360 VRI655360 WBE655360 WLA655360 WUW655360 IK720896 SG720896 ACC720896 ALY720896 AVU720896 BFQ720896 BPM720896 BZI720896 CJE720896 CTA720896 DCW720896 DMS720896 DWO720896 EGK720896 EQG720896 FAC720896 FJY720896 FTU720896 GDQ720896 GNM720896 GXI720896 HHE720896 HRA720896 IAW720896 IKS720896 IUO720896 JEK720896 JOG720896 JYC720896 KHY720896 KRU720896 LBQ720896 LLM720896 LVI720896 MFE720896 MPA720896 MYW720896 NIS720896 NSO720896 OCK720896 OMG720896 OWC720896 PFY720896 PPU720896 PZQ720896 QJM720896 QTI720896 RDE720896 RNA720896 RWW720896 SGS720896 SQO720896 TAK720896 TKG720896 TUC720896 UDY720896 UNU720896 UXQ720896 VHM720896 VRI720896 WBE720896 WLA720896 WUW720896 IK786432 SG786432 ACC786432 ALY786432 AVU786432 BFQ786432 BPM786432 BZI786432 CJE786432 CTA786432 DCW786432 DMS786432 DWO786432 EGK786432 EQG786432 FAC786432 FJY786432 FTU786432 GDQ786432 GNM786432 GXI786432 HHE786432 HRA786432 IAW786432 IKS786432 IUO786432 JEK786432 JOG786432 JYC786432 KHY786432 KRU786432 LBQ786432 LLM786432 LVI786432 MFE786432 MPA786432 MYW786432 NIS786432 NSO786432 OCK786432 OMG786432 OWC786432 PFY786432 PPU786432 PZQ786432 QJM786432 QTI786432 RDE786432 RNA786432 RWW786432 SGS786432 SQO786432 TAK786432 TKG786432 TUC786432 UDY786432 UNU786432 UXQ786432 VHM786432 VRI786432 WBE786432 WLA786432 WUW786432 IK851968 SG851968 ACC851968 ALY851968 AVU851968 BFQ851968 BPM851968 BZI851968 CJE851968 CTA851968 DCW851968 DMS851968 DWO851968 EGK851968 EQG851968 FAC851968 FJY851968 FTU851968 GDQ851968 GNM851968 GXI851968 HHE851968 HRA851968 IAW851968 IKS851968 IUO851968 JEK851968 JOG851968 JYC851968 KHY851968 KRU851968 LBQ851968 LLM851968 LVI851968 MFE851968 MPA851968 MYW851968 NIS851968 NSO851968 OCK851968 OMG851968 OWC851968 PFY851968 PPU851968 PZQ851968 QJM851968 QTI851968 RDE851968 RNA851968 RWW851968 SGS851968 SQO851968 TAK851968 TKG851968 TUC851968 UDY851968 UNU851968 UXQ851968 VHM851968 VRI851968 WBE851968 WLA851968 WUW851968 IK917504 SG917504 ACC917504 ALY917504 AVU917504 BFQ917504 BPM917504 BZI917504 CJE917504 CTA917504 DCW917504 DMS917504 DWO917504 EGK917504 EQG917504 FAC917504 FJY917504 FTU917504 GDQ917504 GNM917504 GXI917504 HHE917504 HRA917504 IAW917504 IKS917504 IUO917504 JEK917504 JOG917504 JYC917504 KHY917504 KRU917504 LBQ917504 LLM917504 LVI917504 MFE917504 MPA917504 MYW917504 NIS917504 NSO917504 OCK917504 OMG917504 OWC917504 PFY917504 PPU917504 PZQ917504 QJM917504 QTI917504 RDE917504 RNA917504 RWW917504 SGS917504 SQO917504 TAK917504 TKG917504 TUC917504 UDY917504 UNU917504 UXQ917504 VHM917504 VRI917504 WBE917504 WLA917504 WUW917504 IK983040 SG983040 ACC983040 ALY983040 AVU983040 BFQ983040 BPM983040 BZI983040 CJE983040 CTA983040 DCW983040 DMS983040 DWO983040 EGK983040 EQG983040 FAC983040 FJY983040 FTU983040 GDQ983040 GNM983040 GXI983040 HHE983040 HRA983040 IAW983040 IKS983040 IUO983040 JEK983040 JOG983040 JYC983040 KHY983040 KRU983040 LBQ983040 LLM983040 LVI983040 MFE983040 MPA983040 MYW983040 NIS983040 NSO983040 OCK983040 OMG983040 OWC983040 PFY983040 PPU983040 PZQ983040 QJM983040 QTI983040 RDE983040 RNA983040 RWW983040 SGS983040 SQO983040 TAK983040 TKG983040 TUC983040 UDY983040 UNU983040 UXQ983040 VHM983040 VRI983040 WBE983040 WLA983040 WUW983040 C4:D4 IK3 SG3 ACC3 ALY3 AVU3 BFQ3 BPM3 BZI3 CJE3 CTA3 DCW3 DMS3 DWO3 EGK3 EQG3 FAC3 FJY3 FTU3 GDQ3 GNM3 GXI3 HHE3 HRA3 IAW3 IKS3 IUO3 JEK3 JOG3 JYC3 KHY3 KRU3 LBQ3 LLM3 LVI3 MFE3 MPA3 MYW3 NIS3 NSO3 OCK3 OMG3 OWC3 PFY3 PPU3 PZQ3 QJM3 QTI3 RDE3 RNA3 RWW3 SGS3 SQO3 TAK3 TKG3 TUC3 UDY3 UNU3 UXQ3 VHM3 VRI3 WBE3 WLA3 WUW3 IK65514 SG65514 ACC65514 ALY65514 AVU65514 BFQ65514 BPM65514 BZI65514 CJE65514 CTA65514 DCW65514 DMS65514 DWO65514 EGK65514 EQG65514 FAC65514 FJY65514 FTU65514 GDQ65514 GNM65514 GXI65514 HHE65514 HRA65514 IAW65514 IKS65514 IUO65514 JEK65514 JOG65514 JYC65514 KHY65514 KRU65514 LBQ65514 LLM65514 LVI65514 MFE65514 MPA65514 MYW65514 NIS65514 NSO65514 OCK65514 OMG65514 OWC65514 PFY65514 PPU65514 PZQ65514 QJM65514 QTI65514 RDE65514 RNA65514 RWW65514 SGS65514 SQO65514 TAK65514 TKG65514 TUC65514 UDY65514 UNU65514 UXQ65514 VHM65514 VRI65514 WBE65514 WLA65514 WUW65514 IK131050 SG131050 ACC131050 ALY131050 AVU131050 BFQ131050 BPM131050 BZI131050 CJE131050 CTA131050 DCW131050 DMS131050 DWO131050 EGK131050 EQG131050 FAC131050 FJY131050 FTU131050 GDQ131050 GNM131050 GXI131050 HHE131050 HRA131050 IAW131050 IKS131050 IUO131050 JEK131050 JOG131050 JYC131050 KHY131050 KRU131050 LBQ131050 LLM131050 LVI131050 MFE131050 MPA131050 MYW131050 NIS131050 NSO131050 OCK131050 OMG131050 OWC131050 PFY131050 PPU131050 PZQ131050 QJM131050 QTI131050 RDE131050 RNA131050 RWW131050 SGS131050 SQO131050 TAK131050 TKG131050 TUC131050 UDY131050 UNU131050 UXQ131050 VHM131050 VRI131050 WBE131050 WLA131050 WUW131050 IK196586 SG196586 ACC196586 ALY196586 AVU196586 BFQ196586 BPM196586 BZI196586 CJE196586 CTA196586 DCW196586 DMS196586 DWO196586 EGK196586 EQG196586 FAC196586 FJY196586 FTU196586 GDQ196586 GNM196586 GXI196586 HHE196586 HRA196586 IAW196586 IKS196586 IUO196586 JEK196586 JOG196586 JYC196586 KHY196586 KRU196586 LBQ196586 LLM196586 LVI196586 MFE196586 MPA196586 MYW196586 NIS196586 NSO196586 OCK196586 OMG196586 OWC196586 PFY196586 PPU196586 PZQ196586 QJM196586 QTI196586 RDE196586 RNA196586 RWW196586 SGS196586 SQO196586 TAK196586 TKG196586 TUC196586 UDY196586 UNU196586 UXQ196586 VHM196586 VRI196586 WBE196586 WLA196586 WUW196586 IK262122 SG262122 ACC262122 ALY262122 AVU262122 BFQ262122 BPM262122 BZI262122 CJE262122 CTA262122 DCW262122 DMS262122 DWO262122 EGK262122 EQG262122 FAC262122 FJY262122 FTU262122 GDQ262122 GNM262122 GXI262122 HHE262122 HRA262122 IAW262122 IKS262122 IUO262122 JEK262122 JOG262122 JYC262122 KHY262122 KRU262122 LBQ262122 LLM262122 LVI262122 MFE262122 MPA262122 MYW262122 NIS262122 NSO262122 OCK262122 OMG262122 OWC262122 PFY262122 PPU262122 PZQ262122 QJM262122 QTI262122 RDE262122 RNA262122 RWW262122 SGS262122 SQO262122 TAK262122 TKG262122 TUC262122 UDY262122 UNU262122 UXQ262122 VHM262122 VRI262122 WBE262122 WLA262122 WUW262122 IK327658 SG327658 ACC327658 ALY327658 AVU327658 BFQ327658 BPM327658 BZI327658 CJE327658 CTA327658 DCW327658 DMS327658 DWO327658 EGK327658 EQG327658 FAC327658 FJY327658 FTU327658 GDQ327658 GNM327658 GXI327658 HHE327658 HRA327658 IAW327658 IKS327658 IUO327658 JEK327658 JOG327658 JYC327658 KHY327658 KRU327658 LBQ327658 LLM327658 LVI327658 MFE327658 MPA327658 MYW327658 NIS327658 NSO327658 OCK327658 OMG327658 OWC327658 PFY327658 PPU327658 PZQ327658 QJM327658 QTI327658 RDE327658 RNA327658 RWW327658 SGS327658 SQO327658 TAK327658 TKG327658 TUC327658 UDY327658 UNU327658 UXQ327658 VHM327658 VRI327658 WBE327658 WLA327658 WUW327658 IK393194 SG393194 ACC393194 ALY393194 AVU393194 BFQ393194 BPM393194 BZI393194 CJE393194 CTA393194 DCW393194 DMS393194 DWO393194 EGK393194 EQG393194 FAC393194 FJY393194 FTU393194 GDQ393194 GNM393194 GXI393194 HHE393194 HRA393194 IAW393194 IKS393194 IUO393194 JEK393194 JOG393194 JYC393194 KHY393194 KRU393194 LBQ393194 LLM393194 LVI393194 MFE393194 MPA393194 MYW393194 NIS393194 NSO393194 OCK393194 OMG393194 OWC393194 PFY393194 PPU393194 PZQ393194 QJM393194 QTI393194 RDE393194 RNA393194 RWW393194 SGS393194 SQO393194 TAK393194 TKG393194 TUC393194 UDY393194 UNU393194 UXQ393194 VHM393194 VRI393194 WBE393194 WLA393194 WUW393194 IK458730 SG458730 ACC458730 ALY458730 AVU458730 BFQ458730 BPM458730 BZI458730 CJE458730 CTA458730 DCW458730 DMS458730 DWO458730 EGK458730 EQG458730 FAC458730 FJY458730 FTU458730 GDQ458730 GNM458730 GXI458730 HHE458730 HRA458730 IAW458730 IKS458730 IUO458730 JEK458730 JOG458730 JYC458730 KHY458730 KRU458730 LBQ458730 LLM458730 LVI458730 MFE458730 MPA458730 MYW458730 NIS458730 NSO458730 OCK458730 OMG458730 OWC458730 PFY458730 PPU458730 PZQ458730 QJM458730 QTI458730 RDE458730 RNA458730 RWW458730 SGS458730 SQO458730 TAK458730 TKG458730 TUC458730 UDY458730 UNU458730 UXQ458730 VHM458730 VRI458730 WBE458730 WLA458730 WUW458730 IK524266 SG524266 ACC524266 ALY524266 AVU524266 BFQ524266 BPM524266 BZI524266 CJE524266 CTA524266 DCW524266 DMS524266 DWO524266 EGK524266 EQG524266 FAC524266 FJY524266 FTU524266 GDQ524266 GNM524266 GXI524266 HHE524266 HRA524266 IAW524266 IKS524266 IUO524266 JEK524266 JOG524266 JYC524266 KHY524266 KRU524266 LBQ524266 LLM524266 LVI524266 MFE524266 MPA524266 MYW524266 NIS524266 NSO524266 OCK524266 OMG524266 OWC524266 PFY524266 PPU524266 PZQ524266 QJM524266 QTI524266 RDE524266 RNA524266 RWW524266 SGS524266 SQO524266 TAK524266 TKG524266 TUC524266 UDY524266 UNU524266 UXQ524266 VHM524266 VRI524266 WBE524266 WLA524266 WUW524266 IK589802 SG589802 ACC589802 ALY589802 AVU589802 BFQ589802 BPM589802 BZI589802 CJE589802 CTA589802 DCW589802 DMS589802 DWO589802 EGK589802 EQG589802 FAC589802 FJY589802 FTU589802 GDQ589802 GNM589802 GXI589802 HHE589802 HRA589802 IAW589802 IKS589802 IUO589802 JEK589802 JOG589802 JYC589802 KHY589802 KRU589802 LBQ589802 LLM589802 LVI589802 MFE589802 MPA589802 MYW589802 NIS589802 NSO589802 OCK589802 OMG589802 OWC589802 PFY589802 PPU589802 PZQ589802 QJM589802 QTI589802 RDE589802 RNA589802 RWW589802 SGS589802 SQO589802 TAK589802 TKG589802 TUC589802 UDY589802 UNU589802 UXQ589802 VHM589802 VRI589802 WBE589802 WLA589802 WUW589802 IK655338 SG655338 ACC655338 ALY655338 AVU655338 BFQ655338 BPM655338 BZI655338 CJE655338 CTA655338 DCW655338 DMS655338 DWO655338 EGK655338 EQG655338 FAC655338 FJY655338 FTU655338 GDQ655338 GNM655338 GXI655338 HHE655338 HRA655338 IAW655338 IKS655338 IUO655338 JEK655338 JOG655338 JYC655338 KHY655338 KRU655338 LBQ655338 LLM655338 LVI655338 MFE655338 MPA655338 MYW655338 NIS655338 NSO655338 OCK655338 OMG655338 OWC655338 PFY655338 PPU655338 PZQ655338 QJM655338 QTI655338 RDE655338 RNA655338 RWW655338 SGS655338 SQO655338 TAK655338 TKG655338 TUC655338 UDY655338 UNU655338 UXQ655338 VHM655338 VRI655338 WBE655338 WLA655338 WUW655338 IK720874 SG720874 ACC720874 ALY720874 AVU720874 BFQ720874 BPM720874 BZI720874 CJE720874 CTA720874 DCW720874 DMS720874 DWO720874 EGK720874 EQG720874 FAC720874 FJY720874 FTU720874 GDQ720874 GNM720874 GXI720874 HHE720874 HRA720874 IAW720874 IKS720874 IUO720874 JEK720874 JOG720874 JYC720874 KHY720874 KRU720874 LBQ720874 LLM720874 LVI720874 MFE720874 MPA720874 MYW720874 NIS720874 NSO720874 OCK720874 OMG720874 OWC720874 PFY720874 PPU720874 PZQ720874 QJM720874 QTI720874 RDE720874 RNA720874 RWW720874 SGS720874 SQO720874 TAK720874 TKG720874 TUC720874 UDY720874 UNU720874 UXQ720874 VHM720874 VRI720874 WBE720874 WLA720874 WUW720874 IK786410 SG786410 ACC786410 ALY786410 AVU786410 BFQ786410 BPM786410 BZI786410 CJE786410 CTA786410 DCW786410 DMS786410 DWO786410 EGK786410 EQG786410 FAC786410 FJY786410 FTU786410 GDQ786410 GNM786410 GXI786410 HHE786410 HRA786410 IAW786410 IKS786410 IUO786410 JEK786410 JOG786410 JYC786410 KHY786410 KRU786410 LBQ786410 LLM786410 LVI786410 MFE786410 MPA786410 MYW786410 NIS786410 NSO786410 OCK786410 OMG786410 OWC786410 PFY786410 PPU786410 PZQ786410 QJM786410 QTI786410 RDE786410 RNA786410 RWW786410 SGS786410 SQO786410 TAK786410 TKG786410 TUC786410 UDY786410 UNU786410 UXQ786410 VHM786410 VRI786410 WBE786410 WLA786410 WUW786410 IK851946 SG851946 ACC851946 ALY851946 AVU851946 BFQ851946 BPM851946 BZI851946 CJE851946 CTA851946 DCW851946 DMS851946 DWO851946 EGK851946 EQG851946 FAC851946 FJY851946 FTU851946 GDQ851946 GNM851946 GXI851946 HHE851946 HRA851946 IAW851946 IKS851946 IUO851946 JEK851946 JOG851946 JYC851946 KHY851946 KRU851946 LBQ851946 LLM851946 LVI851946 MFE851946 MPA851946 MYW851946 NIS851946 NSO851946 OCK851946 OMG851946 OWC851946 PFY851946 PPU851946 PZQ851946 QJM851946 QTI851946 RDE851946 RNA851946 RWW851946 SGS851946 SQO851946 TAK851946 TKG851946 TUC851946 UDY851946 UNU851946 UXQ851946 VHM851946 VRI851946 WBE851946 WLA851946 WUW851946 IK917482 SG917482 ACC917482 ALY917482 AVU917482 BFQ917482 BPM917482 BZI917482 CJE917482 CTA917482 DCW917482 DMS917482 DWO917482 EGK917482 EQG917482 FAC917482 FJY917482 FTU917482 GDQ917482 GNM917482 GXI917482 HHE917482 HRA917482 IAW917482 IKS917482 IUO917482 JEK917482 JOG917482 JYC917482 KHY917482 KRU917482 LBQ917482 LLM917482 LVI917482 MFE917482 MPA917482 MYW917482 NIS917482 NSO917482 OCK917482 OMG917482 OWC917482 PFY917482 PPU917482 PZQ917482 QJM917482 QTI917482 RDE917482 RNA917482 RWW917482 SGS917482 SQO917482 TAK917482 TKG917482 TUC917482 UDY917482 UNU917482 UXQ917482 VHM917482 VRI917482 WBE917482 WLA917482 WUW917482 IK983018 SG983018 ACC983018 ALY983018 AVU983018 BFQ983018 BPM983018 BZI983018 CJE983018 CTA983018 DCW983018 DMS983018 DWO983018 EGK983018 EQG983018 FAC983018 FJY983018 FTU983018 GDQ983018 GNM983018 GXI983018 HHE983018 HRA983018 IAW983018 IKS983018 IUO983018 JEK983018 JOG983018 JYC983018 KHY983018 KRU983018 LBQ983018 LLM983018 LVI983018 MFE983018 MPA983018 MYW983018 NIS983018 NSO983018 OCK983018 OMG983018 OWC983018 PFY983018 PPU983018 PZQ983018 QJM983018 QTI983018 RDE983018 RNA983018 RWW983018 SGS983018 SQO983018 TAK983018 TKG983018 TUC983018 UDY983018 UNU983018 UXQ983018 VHM983018 VRI983018 WBE983018 WLA983018 WUW983018 IS65536 SO65536 ACK65536 AMG65536 AWC65536 BFY65536 BPU65536 BZQ65536 CJM65536 CTI65536 DDE65536 DNA65536 DWW65536 EGS65536 EQO65536 FAK65536 FKG65536 FUC65536 GDY65536 GNU65536 GXQ65536 HHM65536 HRI65536 IBE65536 ILA65536 IUW65536 JES65536 JOO65536 JYK65536 KIG65536 KSC65536 LBY65536 LLU65536 LVQ65536 MFM65536 MPI65536 MZE65536 NJA65536 NSW65536 OCS65536 OMO65536 OWK65536 PGG65536 PQC65536 PZY65536 QJU65536 QTQ65536 RDM65536 RNI65536 RXE65536 SHA65536 SQW65536 TAS65536 TKO65536 TUK65536 UEG65536 UOC65536 UXY65536 VHU65536 VRQ65536 WBM65536 WLI65536 WVE65536 IS131072 SO131072 ACK131072 AMG131072 AWC131072 BFY131072 BPU131072 BZQ131072 CJM131072 CTI131072 DDE131072 DNA131072 DWW131072 EGS131072 EQO131072 FAK131072 FKG131072 FUC131072 GDY131072 GNU131072 GXQ131072 HHM131072 HRI131072 IBE131072 ILA131072 IUW131072 JES131072 JOO131072 JYK131072 KIG131072 KSC131072 LBY131072 LLU131072 LVQ131072 MFM131072 MPI131072 MZE131072 NJA131072 NSW131072 OCS131072 OMO131072 OWK131072 PGG131072 PQC131072 PZY131072 QJU131072 QTQ131072 RDM131072 RNI131072 RXE131072 SHA131072 SQW131072 TAS131072 TKO131072 TUK131072 UEG131072 UOC131072 UXY131072 VHU131072 VRQ131072 WBM131072 WLI131072 WVE131072 IS196608 SO196608 ACK196608 AMG196608 AWC196608 BFY196608 BPU196608 BZQ196608 CJM196608 CTI196608 DDE196608 DNA196608 DWW196608 EGS196608 EQO196608 FAK196608 FKG196608 FUC196608 GDY196608 GNU196608 GXQ196608 HHM196608 HRI196608 IBE196608 ILA196608 IUW196608 JES196608 JOO196608 JYK196608 KIG196608 KSC196608 LBY196608 LLU196608 LVQ196608 MFM196608 MPI196608 MZE196608 NJA196608 NSW196608 OCS196608 OMO196608 OWK196608 PGG196608 PQC196608 PZY196608 QJU196608 QTQ196608 RDM196608 RNI196608 RXE196608 SHA196608 SQW196608 TAS196608 TKO196608 TUK196608 UEG196608 UOC196608 UXY196608 VHU196608 VRQ196608 WBM196608 WLI196608 WVE196608 IS262144 SO262144 ACK262144 AMG262144 AWC262144 BFY262144 BPU262144 BZQ262144 CJM262144 CTI262144 DDE262144 DNA262144 DWW262144 EGS262144 EQO262144 FAK262144 FKG262144 FUC262144 GDY262144 GNU262144 GXQ262144 HHM262144 HRI262144 IBE262144 ILA262144 IUW262144 JES262144 JOO262144 JYK262144 KIG262144 KSC262144 LBY262144 LLU262144 LVQ262144 MFM262144 MPI262144 MZE262144 NJA262144 NSW262144 OCS262144 OMO262144 OWK262144 PGG262144 PQC262144 PZY262144 QJU262144 QTQ262144 RDM262144 RNI262144 RXE262144 SHA262144 SQW262144 TAS262144 TKO262144 TUK262144 UEG262144 UOC262144 UXY262144 VHU262144 VRQ262144 WBM262144 WLI262144 WVE262144 IS327680 SO327680 ACK327680 AMG327680 AWC327680 BFY327680 BPU327680 BZQ327680 CJM327680 CTI327680 DDE327680 DNA327680 DWW327680 EGS327680 EQO327680 FAK327680 FKG327680 FUC327680 GDY327680 GNU327680 GXQ327680 HHM327680 HRI327680 IBE327680 ILA327680 IUW327680 JES327680 JOO327680 JYK327680 KIG327680 KSC327680 LBY327680 LLU327680 LVQ327680 MFM327680 MPI327680 MZE327680 NJA327680 NSW327680 OCS327680 OMO327680 OWK327680 PGG327680 PQC327680 PZY327680 QJU327680 QTQ327680 RDM327680 RNI327680 RXE327680 SHA327680 SQW327680 TAS327680 TKO327680 TUK327680 UEG327680 UOC327680 UXY327680 VHU327680 VRQ327680 WBM327680 WLI327680 WVE327680 IS393216 SO393216 ACK393216 AMG393216 AWC393216 BFY393216 BPU393216 BZQ393216 CJM393216 CTI393216 DDE393216 DNA393216 DWW393216 EGS393216 EQO393216 FAK393216 FKG393216 FUC393216 GDY393216 GNU393216 GXQ393216 HHM393216 HRI393216 IBE393216 ILA393216 IUW393216 JES393216 JOO393216 JYK393216 KIG393216 KSC393216 LBY393216 LLU393216 LVQ393216 MFM393216 MPI393216 MZE393216 NJA393216 NSW393216 OCS393216 OMO393216 OWK393216 PGG393216 PQC393216 PZY393216 QJU393216 QTQ393216 RDM393216 RNI393216 RXE393216 SHA393216 SQW393216 TAS393216 TKO393216 TUK393216 UEG393216 UOC393216 UXY393216 VHU393216 VRQ393216 WBM393216 WLI393216 WVE393216 IS458752 SO458752 ACK458752 AMG458752 AWC458752 BFY458752 BPU458752 BZQ458752 CJM458752 CTI458752 DDE458752 DNA458752 DWW458752 EGS458752 EQO458752 FAK458752 FKG458752 FUC458752 GDY458752 GNU458752 GXQ458752 HHM458752 HRI458752 IBE458752 ILA458752 IUW458752 JES458752 JOO458752 JYK458752 KIG458752 KSC458752 LBY458752 LLU458752 LVQ458752 MFM458752 MPI458752 MZE458752 NJA458752 NSW458752 OCS458752 OMO458752 OWK458752 PGG458752 PQC458752 PZY458752 QJU458752 QTQ458752 RDM458752 RNI458752 RXE458752 SHA458752 SQW458752 TAS458752 TKO458752 TUK458752 UEG458752 UOC458752 UXY458752 VHU458752 VRQ458752 WBM458752 WLI458752 WVE458752 IS524288 SO524288 ACK524288 AMG524288 AWC524288 BFY524288 BPU524288 BZQ524288 CJM524288 CTI524288 DDE524288 DNA524288 DWW524288 EGS524288 EQO524288 FAK524288 FKG524288 FUC524288 GDY524288 GNU524288 GXQ524288 HHM524288 HRI524288 IBE524288 ILA524288 IUW524288 JES524288 JOO524288 JYK524288 KIG524288 KSC524288 LBY524288 LLU524288 LVQ524288 MFM524288 MPI524288 MZE524288 NJA524288 NSW524288 OCS524288 OMO524288 OWK524288 PGG524288 PQC524288 PZY524288 QJU524288 QTQ524288 RDM524288 RNI524288 RXE524288 SHA524288 SQW524288 TAS524288 TKO524288 TUK524288 UEG524288 UOC524288 UXY524288 VHU524288 VRQ524288 WBM524288 WLI524288 WVE524288 IS589824 SO589824 ACK589824 AMG589824 AWC589824 BFY589824 BPU589824 BZQ589824 CJM589824 CTI589824 DDE589824 DNA589824 DWW589824 EGS589824 EQO589824 FAK589824 FKG589824 FUC589824 GDY589824 GNU589824 GXQ589824 HHM589824 HRI589824 IBE589824 ILA589824 IUW589824 JES589824 JOO589824 JYK589824 KIG589824 KSC589824 LBY589824 LLU589824 LVQ589824 MFM589824 MPI589824 MZE589824 NJA589824 NSW589824 OCS589824 OMO589824 OWK589824 PGG589824 PQC589824 PZY589824 QJU589824 QTQ589824 RDM589824 RNI589824 RXE589824 SHA589824 SQW589824 TAS589824 TKO589824 TUK589824 UEG589824 UOC589824 UXY589824 VHU589824 VRQ589824 WBM589824 WLI589824 WVE589824 IS655360 SO655360 ACK655360 AMG655360 AWC655360 BFY655360 BPU655360 BZQ655360 CJM655360 CTI655360 DDE655360 DNA655360 DWW655360 EGS655360 EQO655360 FAK655360 FKG655360 FUC655360 GDY655360 GNU655360 GXQ655360 HHM655360 HRI655360 IBE655360 ILA655360 IUW655360 JES655360 JOO655360 JYK655360 KIG655360 KSC655360 LBY655360 LLU655360 LVQ655360 MFM655360 MPI655360 MZE655360 NJA655360 NSW655360 OCS655360 OMO655360 OWK655360 PGG655360 PQC655360 PZY655360 QJU655360 QTQ655360 RDM655360 RNI655360 RXE655360 SHA655360 SQW655360 TAS655360 TKO655360 TUK655360 UEG655360 UOC655360 UXY655360 VHU655360 VRQ655360 WBM655360 WLI655360 WVE655360 IS720896 SO720896 ACK720896 AMG720896 AWC720896 BFY720896 BPU720896 BZQ720896 CJM720896 CTI720896 DDE720896 DNA720896 DWW720896 EGS720896 EQO720896 FAK720896 FKG720896 FUC720896 GDY720896 GNU720896 GXQ720896 HHM720896 HRI720896 IBE720896 ILA720896 IUW720896 JES720896 JOO720896 JYK720896 KIG720896 KSC720896 LBY720896 LLU720896 LVQ720896 MFM720896 MPI720896 MZE720896 NJA720896 NSW720896 OCS720896 OMO720896 OWK720896 PGG720896 PQC720896 PZY720896 QJU720896 QTQ720896 RDM720896 RNI720896 RXE720896 SHA720896 SQW720896 TAS720896 TKO720896 TUK720896 UEG720896 UOC720896 UXY720896 VHU720896 VRQ720896 WBM720896 WLI720896 WVE720896 IS786432 SO786432 ACK786432 AMG786432 AWC786432 BFY786432 BPU786432 BZQ786432 CJM786432 CTI786432 DDE786432 DNA786432 DWW786432 EGS786432 EQO786432 FAK786432 FKG786432 FUC786432 GDY786432 GNU786432 GXQ786432 HHM786432 HRI786432 IBE786432 ILA786432 IUW786432 JES786432 JOO786432 JYK786432 KIG786432 KSC786432 LBY786432 LLU786432 LVQ786432 MFM786432 MPI786432 MZE786432 NJA786432 NSW786432 OCS786432 OMO786432 OWK786432 PGG786432 PQC786432 PZY786432 QJU786432 QTQ786432 RDM786432 RNI786432 RXE786432 SHA786432 SQW786432 TAS786432 TKO786432 TUK786432 UEG786432 UOC786432 UXY786432 VHU786432 VRQ786432 WBM786432 WLI786432 WVE786432 IS851968 SO851968 ACK851968 AMG851968 AWC851968 BFY851968 BPU851968 BZQ851968 CJM851968 CTI851968 DDE851968 DNA851968 DWW851968 EGS851968 EQO851968 FAK851968 FKG851968 FUC851968 GDY851968 GNU851968 GXQ851968 HHM851968 HRI851968 IBE851968 ILA851968 IUW851968 JES851968 JOO851968 JYK851968 KIG851968 KSC851968 LBY851968 LLU851968 LVQ851968 MFM851968 MPI851968 MZE851968 NJA851968 NSW851968 OCS851968 OMO851968 OWK851968 PGG851968 PQC851968 PZY851968 QJU851968 QTQ851968 RDM851968 RNI851968 RXE851968 SHA851968 SQW851968 TAS851968 TKO851968 TUK851968 UEG851968 UOC851968 UXY851968 VHU851968 VRQ851968 WBM851968 WLI851968 WVE851968 IS917504 SO917504 ACK917504 AMG917504 AWC917504 BFY917504 BPU917504 BZQ917504 CJM917504 CTI917504 DDE917504 DNA917504 DWW917504 EGS917504 EQO917504 FAK917504 FKG917504 FUC917504 GDY917504 GNU917504 GXQ917504 HHM917504 HRI917504 IBE917504 ILA917504 IUW917504 JES917504 JOO917504 JYK917504 KIG917504 KSC917504 LBY917504 LLU917504 LVQ917504 MFM917504 MPI917504 MZE917504 NJA917504 NSW917504 OCS917504 OMO917504 OWK917504 PGG917504 PQC917504 PZY917504 QJU917504 QTQ917504 RDM917504 RNI917504 RXE917504 SHA917504 SQW917504 TAS917504 TKO917504 TUK917504 UEG917504 UOC917504 UXY917504 VHU917504 VRQ917504 WBM917504 WLI917504 WVE917504 IS983040 SO983040 ACK983040 AMG983040 AWC983040 BFY983040 BPU983040 BZQ983040 CJM983040 CTI983040 DDE983040 DNA983040 DWW983040 EGS983040 EQO983040 FAK983040 FKG983040 FUC983040 GDY983040 GNU983040 GXQ983040 HHM983040 HRI983040 IBE983040 ILA983040 IUW983040 JES983040 JOO983040 JYK983040 KIG983040 KSC983040 LBY983040 LLU983040 LVQ983040 MFM983040 MPI983040 MZE983040 NJA983040 NSW983040 OCS983040 OMO983040 OWK983040 PGG983040 PQC983040 PZY983040 QJU983040 QTQ983040 RDM983040 RNI983040 RXE983040 SHA983040 SQW983040 TAS983040 TKO983040 TUK983040 UEG983040 UOC983040 UXY983040 VHU983040 VRQ983040 WBM983040 WLI983040 WVE983040 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VE3 IS65514 SO65514 ACK65514 AMG65514 AWC65514 BFY65514 BPU65514 BZQ65514 CJM65514 CTI65514 DDE65514 DNA65514 DWW65514 EGS65514 EQO65514 FAK65514 FKG65514 FUC65514 GDY65514 GNU65514 GXQ65514 HHM65514 HRI65514 IBE65514 ILA65514 IUW65514 JES65514 JOO65514 JYK65514 KIG65514 KSC65514 LBY65514 LLU65514 LVQ65514 MFM65514 MPI65514 MZE65514 NJA65514 NSW65514 OCS65514 OMO65514 OWK65514 PGG65514 PQC65514 PZY65514 QJU65514 QTQ65514 RDM65514 RNI65514 RXE65514 SHA65514 SQW65514 TAS65514 TKO65514 TUK65514 UEG65514 UOC65514 UXY65514 VHU65514 VRQ65514 WBM65514 WLI65514 WVE65514 IS131050 SO131050 ACK131050 AMG131050 AWC131050 BFY131050 BPU131050 BZQ131050 CJM131050 CTI131050 DDE131050 DNA131050 DWW131050 EGS131050 EQO131050 FAK131050 FKG131050 FUC131050 GDY131050 GNU131050 GXQ131050 HHM131050 HRI131050 IBE131050 ILA131050 IUW131050 JES131050 JOO131050 JYK131050 KIG131050 KSC131050 LBY131050 LLU131050 LVQ131050 MFM131050 MPI131050 MZE131050 NJA131050 NSW131050 OCS131050 OMO131050 OWK131050 PGG131050 PQC131050 PZY131050 QJU131050 QTQ131050 RDM131050 RNI131050 RXE131050 SHA131050 SQW131050 TAS131050 TKO131050 TUK131050 UEG131050 UOC131050 UXY131050 VHU131050 VRQ131050 WBM131050 WLI131050 WVE131050 IS196586 SO196586 ACK196586 AMG196586 AWC196586 BFY196586 BPU196586 BZQ196586 CJM196586 CTI196586 DDE196586 DNA196586 DWW196586 EGS196586 EQO196586 FAK196586 FKG196586 FUC196586 GDY196586 GNU196586 GXQ196586 HHM196586 HRI196586 IBE196586 ILA196586 IUW196586 JES196586 JOO196586 JYK196586 KIG196586 KSC196586 LBY196586 LLU196586 LVQ196586 MFM196586 MPI196586 MZE196586 NJA196586 NSW196586 OCS196586 OMO196586 OWK196586 PGG196586 PQC196586 PZY196586 QJU196586 QTQ196586 RDM196586 RNI196586 RXE196586 SHA196586 SQW196586 TAS196586 TKO196586 TUK196586 UEG196586 UOC196586 UXY196586 VHU196586 VRQ196586 WBM196586 WLI196586 WVE196586 IS262122 SO262122 ACK262122 AMG262122 AWC262122 BFY262122 BPU262122 BZQ262122 CJM262122 CTI262122 DDE262122 DNA262122 DWW262122 EGS262122 EQO262122 FAK262122 FKG262122 FUC262122 GDY262122 GNU262122 GXQ262122 HHM262122 HRI262122 IBE262122 ILA262122 IUW262122 JES262122 JOO262122 JYK262122 KIG262122 KSC262122 LBY262122 LLU262122 LVQ262122 MFM262122 MPI262122 MZE262122 NJA262122 NSW262122 OCS262122 OMO262122 OWK262122 PGG262122 PQC262122 PZY262122 QJU262122 QTQ262122 RDM262122 RNI262122 RXE262122 SHA262122 SQW262122 TAS262122 TKO262122 TUK262122 UEG262122 UOC262122 UXY262122 VHU262122 VRQ262122 WBM262122 WLI262122 WVE262122 IS327658 SO327658 ACK327658 AMG327658 AWC327658 BFY327658 BPU327658 BZQ327658 CJM327658 CTI327658 DDE327658 DNA327658 DWW327658 EGS327658 EQO327658 FAK327658 FKG327658 FUC327658 GDY327658 GNU327658 GXQ327658 HHM327658 HRI327658 IBE327658 ILA327658 IUW327658 JES327658 JOO327658 JYK327658 KIG327658 KSC327658 LBY327658 LLU327658 LVQ327658 MFM327658 MPI327658 MZE327658 NJA327658 NSW327658 OCS327658 OMO327658 OWK327658 PGG327658 PQC327658 PZY327658 QJU327658 QTQ327658 RDM327658 RNI327658 RXE327658 SHA327658 SQW327658 TAS327658 TKO327658 TUK327658 UEG327658 UOC327658 UXY327658 VHU327658 VRQ327658 WBM327658 WLI327658 WVE327658 IS393194 SO393194 ACK393194 AMG393194 AWC393194 BFY393194 BPU393194 BZQ393194 CJM393194 CTI393194 DDE393194 DNA393194 DWW393194 EGS393194 EQO393194 FAK393194 FKG393194 FUC393194 GDY393194 GNU393194 GXQ393194 HHM393194 HRI393194 IBE393194 ILA393194 IUW393194 JES393194 JOO393194 JYK393194 KIG393194 KSC393194 LBY393194 LLU393194 LVQ393194 MFM393194 MPI393194 MZE393194 NJA393194 NSW393194 OCS393194 OMO393194 OWK393194 PGG393194 PQC393194 PZY393194 QJU393194 QTQ393194 RDM393194 RNI393194 RXE393194 SHA393194 SQW393194 TAS393194 TKO393194 TUK393194 UEG393194 UOC393194 UXY393194 VHU393194 VRQ393194 WBM393194 WLI393194 WVE393194 IS458730 SO458730 ACK458730 AMG458730 AWC458730 BFY458730 BPU458730 BZQ458730 CJM458730 CTI458730 DDE458730 DNA458730 DWW458730 EGS458730 EQO458730 FAK458730 FKG458730 FUC458730 GDY458730 GNU458730 GXQ458730 HHM458730 HRI458730 IBE458730 ILA458730 IUW458730 JES458730 JOO458730 JYK458730 KIG458730 KSC458730 LBY458730 LLU458730 LVQ458730 MFM458730 MPI458730 MZE458730 NJA458730 NSW458730 OCS458730 OMO458730 OWK458730 PGG458730 PQC458730 PZY458730 QJU458730 QTQ458730 RDM458730 RNI458730 RXE458730 SHA458730 SQW458730 TAS458730 TKO458730 TUK458730 UEG458730 UOC458730 UXY458730 VHU458730 VRQ458730 WBM458730 WLI458730 WVE458730 IS524266 SO524266 ACK524266 AMG524266 AWC524266 BFY524266 BPU524266 BZQ524266 CJM524266 CTI524266 DDE524266 DNA524266 DWW524266 EGS524266 EQO524266 FAK524266 FKG524266 FUC524266 GDY524266 GNU524266 GXQ524266 HHM524266 HRI524266 IBE524266 ILA524266 IUW524266 JES524266 JOO524266 JYK524266 KIG524266 KSC524266 LBY524266 LLU524266 LVQ524266 MFM524266 MPI524266 MZE524266 NJA524266 NSW524266 OCS524266 OMO524266 OWK524266 PGG524266 PQC524266 PZY524266 QJU524266 QTQ524266 RDM524266 RNI524266 RXE524266 SHA524266 SQW524266 TAS524266 TKO524266 TUK524266 UEG524266 UOC524266 UXY524266 VHU524266 VRQ524266 WBM524266 WLI524266 WVE524266 IS589802 SO589802 ACK589802 AMG589802 AWC589802 BFY589802 BPU589802 BZQ589802 CJM589802 CTI589802 DDE589802 DNA589802 DWW589802 EGS589802 EQO589802 FAK589802 FKG589802 FUC589802 GDY589802 GNU589802 GXQ589802 HHM589802 HRI589802 IBE589802 ILA589802 IUW589802 JES589802 JOO589802 JYK589802 KIG589802 KSC589802 LBY589802 LLU589802 LVQ589802 MFM589802 MPI589802 MZE589802 NJA589802 NSW589802 OCS589802 OMO589802 OWK589802 PGG589802 PQC589802 PZY589802 QJU589802 QTQ589802 RDM589802 RNI589802 RXE589802 SHA589802 SQW589802 TAS589802 TKO589802 TUK589802 UEG589802 UOC589802 UXY589802 VHU589802 VRQ589802 WBM589802 WLI589802 WVE589802 IS655338 SO655338 ACK655338 AMG655338 AWC655338 BFY655338 BPU655338 BZQ655338 CJM655338 CTI655338 DDE655338 DNA655338 DWW655338 EGS655338 EQO655338 FAK655338 FKG655338 FUC655338 GDY655338 GNU655338 GXQ655338 HHM655338 HRI655338 IBE655338 ILA655338 IUW655338 JES655338 JOO655338 JYK655338 KIG655338 KSC655338 LBY655338 LLU655338 LVQ655338 MFM655338 MPI655338 MZE655338 NJA655338 NSW655338 OCS655338 OMO655338 OWK655338 PGG655338 PQC655338 PZY655338 QJU655338 QTQ655338 RDM655338 RNI655338 RXE655338 SHA655338 SQW655338 TAS655338 TKO655338 TUK655338 UEG655338 UOC655338 UXY655338 VHU655338 VRQ655338 WBM655338 WLI655338 WVE655338 IS720874 SO720874 ACK720874 AMG720874 AWC720874 BFY720874 BPU720874 BZQ720874 CJM720874 CTI720874 DDE720874 DNA720874 DWW720874 EGS720874 EQO720874 FAK720874 FKG720874 FUC720874 GDY720874 GNU720874 GXQ720874 HHM720874 HRI720874 IBE720874 ILA720874 IUW720874 JES720874 JOO720874 JYK720874 KIG720874 KSC720874 LBY720874 LLU720874 LVQ720874 MFM720874 MPI720874 MZE720874 NJA720874 NSW720874 OCS720874 OMO720874 OWK720874 PGG720874 PQC720874 PZY720874 QJU720874 QTQ720874 RDM720874 RNI720874 RXE720874 SHA720874 SQW720874 TAS720874 TKO720874 TUK720874 UEG720874 UOC720874 UXY720874 VHU720874 VRQ720874 WBM720874 WLI720874 WVE720874 IS786410 SO786410 ACK786410 AMG786410 AWC786410 BFY786410 BPU786410 BZQ786410 CJM786410 CTI786410 DDE786410 DNA786410 DWW786410 EGS786410 EQO786410 FAK786410 FKG786410 FUC786410 GDY786410 GNU786410 GXQ786410 HHM786410 HRI786410 IBE786410 ILA786410 IUW786410 JES786410 JOO786410 JYK786410 KIG786410 KSC786410 LBY786410 LLU786410 LVQ786410 MFM786410 MPI786410 MZE786410 NJA786410 NSW786410 OCS786410 OMO786410 OWK786410 PGG786410 PQC786410 PZY786410 QJU786410 QTQ786410 RDM786410 RNI786410 RXE786410 SHA786410 SQW786410 TAS786410 TKO786410 TUK786410 UEG786410 UOC786410 UXY786410 VHU786410 VRQ786410 WBM786410 WLI786410 WVE786410 IS851946 SO851946 ACK851946 AMG851946 AWC851946 BFY851946 BPU851946 BZQ851946 CJM851946 CTI851946 DDE851946 DNA851946 DWW851946 EGS851946 EQO851946 FAK851946 FKG851946 FUC851946 GDY851946 GNU851946 GXQ851946 HHM851946 HRI851946 IBE851946 ILA851946 IUW851946 JES851946 JOO851946 JYK851946 KIG851946 KSC851946 LBY851946 LLU851946 LVQ851946 MFM851946 MPI851946 MZE851946 NJA851946 NSW851946 OCS851946 OMO851946 OWK851946 PGG851946 PQC851946 PZY851946 QJU851946 QTQ851946 RDM851946 RNI851946 RXE851946 SHA851946 SQW851946 TAS851946 TKO851946 TUK851946 UEG851946 UOC851946 UXY851946 VHU851946 VRQ851946 WBM851946 WLI851946 WVE851946 IS917482 SO917482 ACK917482 AMG917482 AWC917482 BFY917482 BPU917482 BZQ917482 CJM917482 CTI917482 DDE917482 DNA917482 DWW917482 EGS917482 EQO917482 FAK917482 FKG917482 FUC917482 GDY917482 GNU917482 GXQ917482 HHM917482 HRI917482 IBE917482 ILA917482 IUW917482 JES917482 JOO917482 JYK917482 KIG917482 KSC917482 LBY917482 LLU917482 LVQ917482 MFM917482 MPI917482 MZE917482 NJA917482 NSW917482 OCS917482 OMO917482 OWK917482 PGG917482 PQC917482 PZY917482 QJU917482 QTQ917482 RDM917482 RNI917482 RXE917482 SHA917482 SQW917482 TAS917482 TKO917482 TUK917482 UEG917482 UOC917482 UXY917482 VHU917482 VRQ917482 WBM917482 WLI917482 WVE917482 IS983018 SO983018 ACK983018 AMG983018 AWC983018 BFY983018 BPU983018 BZQ983018 CJM983018 CTI983018 DDE983018 DNA983018 DWW983018 EGS983018 EQO983018 FAK983018 FKG983018 FUC983018 GDY983018 GNU983018 GXQ983018 HHM983018 HRI983018 IBE983018 ILA983018 IUW983018 JES983018 JOO983018 JYK983018 KIG983018 KSC983018 LBY983018 LLU983018 LVQ983018 MFM983018 MPI983018 MZE983018 NJA983018 NSW983018 OCS983018 OMO983018 OWK983018 PGG983018 PQC983018 PZY983018 QJU983018 QTQ983018 RDM983018 RNI983018 RXE983018 SHA983018 SQW983018 TAS983018 TKO983018 TUK983018 UEG983018 UOC983018 UXY983018 VHU983018 VRQ983018 WBM983018 WLI983018 WVE983018">
      <formula1>명부</formula1>
    </dataValidation>
    <dataValidation type="list" allowBlank="1" showInputMessage="1" showErrorMessage="1" sqref="WVA983044:WVB983056 IG7:IH19 SC7:SD19 ABY7:ABZ19 ALU7:ALV19 AVQ7:AVR19 BFM7:BFN19 BPI7:BPJ19 BZE7:BZF19 CJA7:CJB19 CSW7:CSX19 DCS7:DCT19 DMO7:DMP19 DWK7:DWL19 EGG7:EGH19 EQC7:EQD19 EZY7:EZZ19 FJU7:FJV19 FTQ7:FTR19 GDM7:GDN19 GNI7:GNJ19 GXE7:GXF19 HHA7:HHB19 HQW7:HQX19 IAS7:IAT19 IKO7:IKP19 IUK7:IUL19 JEG7:JEH19 JOC7:JOD19 JXY7:JXZ19 KHU7:KHV19 KRQ7:KRR19 LBM7:LBN19 LLI7:LLJ19 LVE7:LVF19 MFA7:MFB19 MOW7:MOX19 MYS7:MYT19 NIO7:NIP19 NSK7:NSL19 OCG7:OCH19 OMC7:OMD19 OVY7:OVZ19 PFU7:PFV19 PPQ7:PPR19 PZM7:PZN19 QJI7:QJJ19 QTE7:QTF19 RDA7:RDB19 RMW7:RMX19 RWS7:RWT19 SGO7:SGP19 SQK7:SQL19 TAG7:TAH19 TKC7:TKD19 TTY7:TTZ19 UDU7:UDV19 UNQ7:UNR19 UXM7:UXN19 VHI7:VHJ19 VRE7:VRF19 WBA7:WBB19 WKW7:WKX19 WUS7:WUT19 IG65518:IH65530 SC65518:SD65530 ABY65518:ABZ65530 ALU65518:ALV65530 AVQ65518:AVR65530 BFM65518:BFN65530 BPI65518:BPJ65530 BZE65518:BZF65530 CJA65518:CJB65530 CSW65518:CSX65530 DCS65518:DCT65530 DMO65518:DMP65530 DWK65518:DWL65530 EGG65518:EGH65530 EQC65518:EQD65530 EZY65518:EZZ65530 FJU65518:FJV65530 FTQ65518:FTR65530 GDM65518:GDN65530 GNI65518:GNJ65530 GXE65518:GXF65530 HHA65518:HHB65530 HQW65518:HQX65530 IAS65518:IAT65530 IKO65518:IKP65530 IUK65518:IUL65530 JEG65518:JEH65530 JOC65518:JOD65530 JXY65518:JXZ65530 KHU65518:KHV65530 KRQ65518:KRR65530 LBM65518:LBN65530 LLI65518:LLJ65530 LVE65518:LVF65530 MFA65518:MFB65530 MOW65518:MOX65530 MYS65518:MYT65530 NIO65518:NIP65530 NSK65518:NSL65530 OCG65518:OCH65530 OMC65518:OMD65530 OVY65518:OVZ65530 PFU65518:PFV65530 PPQ65518:PPR65530 PZM65518:PZN65530 QJI65518:QJJ65530 QTE65518:QTF65530 RDA65518:RDB65530 RMW65518:RMX65530 RWS65518:RWT65530 SGO65518:SGP65530 SQK65518:SQL65530 TAG65518:TAH65530 TKC65518:TKD65530 TTY65518:TTZ65530 UDU65518:UDV65530 UNQ65518:UNR65530 UXM65518:UXN65530 VHI65518:VHJ65530 VRE65518:VRF65530 WBA65518:WBB65530 WKW65518:WKX65530 WUS65518:WUT65530 IG131054:IH131066 SC131054:SD131066 ABY131054:ABZ131066 ALU131054:ALV131066 AVQ131054:AVR131066 BFM131054:BFN131066 BPI131054:BPJ131066 BZE131054:BZF131066 CJA131054:CJB131066 CSW131054:CSX131066 DCS131054:DCT131066 DMO131054:DMP131066 DWK131054:DWL131066 EGG131054:EGH131066 EQC131054:EQD131066 EZY131054:EZZ131066 FJU131054:FJV131066 FTQ131054:FTR131066 GDM131054:GDN131066 GNI131054:GNJ131066 GXE131054:GXF131066 HHA131054:HHB131066 HQW131054:HQX131066 IAS131054:IAT131066 IKO131054:IKP131066 IUK131054:IUL131066 JEG131054:JEH131066 JOC131054:JOD131066 JXY131054:JXZ131066 KHU131054:KHV131066 KRQ131054:KRR131066 LBM131054:LBN131066 LLI131054:LLJ131066 LVE131054:LVF131066 MFA131054:MFB131066 MOW131054:MOX131066 MYS131054:MYT131066 NIO131054:NIP131066 NSK131054:NSL131066 OCG131054:OCH131066 OMC131054:OMD131066 OVY131054:OVZ131066 PFU131054:PFV131066 PPQ131054:PPR131066 PZM131054:PZN131066 QJI131054:QJJ131066 QTE131054:QTF131066 RDA131054:RDB131066 RMW131054:RMX131066 RWS131054:RWT131066 SGO131054:SGP131066 SQK131054:SQL131066 TAG131054:TAH131066 TKC131054:TKD131066 TTY131054:TTZ131066 UDU131054:UDV131066 UNQ131054:UNR131066 UXM131054:UXN131066 VHI131054:VHJ131066 VRE131054:VRF131066 WBA131054:WBB131066 WKW131054:WKX131066 WUS131054:WUT131066 IG196590:IH196602 SC196590:SD196602 ABY196590:ABZ196602 ALU196590:ALV196602 AVQ196590:AVR196602 BFM196590:BFN196602 BPI196590:BPJ196602 BZE196590:BZF196602 CJA196590:CJB196602 CSW196590:CSX196602 DCS196590:DCT196602 DMO196590:DMP196602 DWK196590:DWL196602 EGG196590:EGH196602 EQC196590:EQD196602 EZY196590:EZZ196602 FJU196590:FJV196602 FTQ196590:FTR196602 GDM196590:GDN196602 GNI196590:GNJ196602 GXE196590:GXF196602 HHA196590:HHB196602 HQW196590:HQX196602 IAS196590:IAT196602 IKO196590:IKP196602 IUK196590:IUL196602 JEG196590:JEH196602 JOC196590:JOD196602 JXY196590:JXZ196602 KHU196590:KHV196602 KRQ196590:KRR196602 LBM196590:LBN196602 LLI196590:LLJ196602 LVE196590:LVF196602 MFA196590:MFB196602 MOW196590:MOX196602 MYS196590:MYT196602 NIO196590:NIP196602 NSK196590:NSL196602 OCG196590:OCH196602 OMC196590:OMD196602 OVY196590:OVZ196602 PFU196590:PFV196602 PPQ196590:PPR196602 PZM196590:PZN196602 QJI196590:QJJ196602 QTE196590:QTF196602 RDA196590:RDB196602 RMW196590:RMX196602 RWS196590:RWT196602 SGO196590:SGP196602 SQK196590:SQL196602 TAG196590:TAH196602 TKC196590:TKD196602 TTY196590:TTZ196602 UDU196590:UDV196602 UNQ196590:UNR196602 UXM196590:UXN196602 VHI196590:VHJ196602 VRE196590:VRF196602 WBA196590:WBB196602 WKW196590:WKX196602 WUS196590:WUT196602 IG262126:IH262138 SC262126:SD262138 ABY262126:ABZ262138 ALU262126:ALV262138 AVQ262126:AVR262138 BFM262126:BFN262138 BPI262126:BPJ262138 BZE262126:BZF262138 CJA262126:CJB262138 CSW262126:CSX262138 DCS262126:DCT262138 DMO262126:DMP262138 DWK262126:DWL262138 EGG262126:EGH262138 EQC262126:EQD262138 EZY262126:EZZ262138 FJU262126:FJV262138 FTQ262126:FTR262138 GDM262126:GDN262138 GNI262126:GNJ262138 GXE262126:GXF262138 HHA262126:HHB262138 HQW262126:HQX262138 IAS262126:IAT262138 IKO262126:IKP262138 IUK262126:IUL262138 JEG262126:JEH262138 JOC262126:JOD262138 JXY262126:JXZ262138 KHU262126:KHV262138 KRQ262126:KRR262138 LBM262126:LBN262138 LLI262126:LLJ262138 LVE262126:LVF262138 MFA262126:MFB262138 MOW262126:MOX262138 MYS262126:MYT262138 NIO262126:NIP262138 NSK262126:NSL262138 OCG262126:OCH262138 OMC262126:OMD262138 OVY262126:OVZ262138 PFU262126:PFV262138 PPQ262126:PPR262138 PZM262126:PZN262138 QJI262126:QJJ262138 QTE262126:QTF262138 RDA262126:RDB262138 RMW262126:RMX262138 RWS262126:RWT262138 SGO262126:SGP262138 SQK262126:SQL262138 TAG262126:TAH262138 TKC262126:TKD262138 TTY262126:TTZ262138 UDU262126:UDV262138 UNQ262126:UNR262138 UXM262126:UXN262138 VHI262126:VHJ262138 VRE262126:VRF262138 WBA262126:WBB262138 WKW262126:WKX262138 WUS262126:WUT262138 IG327662:IH327674 SC327662:SD327674 ABY327662:ABZ327674 ALU327662:ALV327674 AVQ327662:AVR327674 BFM327662:BFN327674 BPI327662:BPJ327674 BZE327662:BZF327674 CJA327662:CJB327674 CSW327662:CSX327674 DCS327662:DCT327674 DMO327662:DMP327674 DWK327662:DWL327674 EGG327662:EGH327674 EQC327662:EQD327674 EZY327662:EZZ327674 FJU327662:FJV327674 FTQ327662:FTR327674 GDM327662:GDN327674 GNI327662:GNJ327674 GXE327662:GXF327674 HHA327662:HHB327674 HQW327662:HQX327674 IAS327662:IAT327674 IKO327662:IKP327674 IUK327662:IUL327674 JEG327662:JEH327674 JOC327662:JOD327674 JXY327662:JXZ327674 KHU327662:KHV327674 KRQ327662:KRR327674 LBM327662:LBN327674 LLI327662:LLJ327674 LVE327662:LVF327674 MFA327662:MFB327674 MOW327662:MOX327674 MYS327662:MYT327674 NIO327662:NIP327674 NSK327662:NSL327674 OCG327662:OCH327674 OMC327662:OMD327674 OVY327662:OVZ327674 PFU327662:PFV327674 PPQ327662:PPR327674 PZM327662:PZN327674 QJI327662:QJJ327674 QTE327662:QTF327674 RDA327662:RDB327674 RMW327662:RMX327674 RWS327662:RWT327674 SGO327662:SGP327674 SQK327662:SQL327674 TAG327662:TAH327674 TKC327662:TKD327674 TTY327662:TTZ327674 UDU327662:UDV327674 UNQ327662:UNR327674 UXM327662:UXN327674 VHI327662:VHJ327674 VRE327662:VRF327674 WBA327662:WBB327674 WKW327662:WKX327674 WUS327662:WUT327674 IG393198:IH393210 SC393198:SD393210 ABY393198:ABZ393210 ALU393198:ALV393210 AVQ393198:AVR393210 BFM393198:BFN393210 BPI393198:BPJ393210 BZE393198:BZF393210 CJA393198:CJB393210 CSW393198:CSX393210 DCS393198:DCT393210 DMO393198:DMP393210 DWK393198:DWL393210 EGG393198:EGH393210 EQC393198:EQD393210 EZY393198:EZZ393210 FJU393198:FJV393210 FTQ393198:FTR393210 GDM393198:GDN393210 GNI393198:GNJ393210 GXE393198:GXF393210 HHA393198:HHB393210 HQW393198:HQX393210 IAS393198:IAT393210 IKO393198:IKP393210 IUK393198:IUL393210 JEG393198:JEH393210 JOC393198:JOD393210 JXY393198:JXZ393210 KHU393198:KHV393210 KRQ393198:KRR393210 LBM393198:LBN393210 LLI393198:LLJ393210 LVE393198:LVF393210 MFA393198:MFB393210 MOW393198:MOX393210 MYS393198:MYT393210 NIO393198:NIP393210 NSK393198:NSL393210 OCG393198:OCH393210 OMC393198:OMD393210 OVY393198:OVZ393210 PFU393198:PFV393210 PPQ393198:PPR393210 PZM393198:PZN393210 QJI393198:QJJ393210 QTE393198:QTF393210 RDA393198:RDB393210 RMW393198:RMX393210 RWS393198:RWT393210 SGO393198:SGP393210 SQK393198:SQL393210 TAG393198:TAH393210 TKC393198:TKD393210 TTY393198:TTZ393210 UDU393198:UDV393210 UNQ393198:UNR393210 UXM393198:UXN393210 VHI393198:VHJ393210 VRE393198:VRF393210 WBA393198:WBB393210 WKW393198:WKX393210 WUS393198:WUT393210 IG458734:IH458746 SC458734:SD458746 ABY458734:ABZ458746 ALU458734:ALV458746 AVQ458734:AVR458746 BFM458734:BFN458746 BPI458734:BPJ458746 BZE458734:BZF458746 CJA458734:CJB458746 CSW458734:CSX458746 DCS458734:DCT458746 DMO458734:DMP458746 DWK458734:DWL458746 EGG458734:EGH458746 EQC458734:EQD458746 EZY458734:EZZ458746 FJU458734:FJV458746 FTQ458734:FTR458746 GDM458734:GDN458746 GNI458734:GNJ458746 GXE458734:GXF458746 HHA458734:HHB458746 HQW458734:HQX458746 IAS458734:IAT458746 IKO458734:IKP458746 IUK458734:IUL458746 JEG458734:JEH458746 JOC458734:JOD458746 JXY458734:JXZ458746 KHU458734:KHV458746 KRQ458734:KRR458746 LBM458734:LBN458746 LLI458734:LLJ458746 LVE458734:LVF458746 MFA458734:MFB458746 MOW458734:MOX458746 MYS458734:MYT458746 NIO458734:NIP458746 NSK458734:NSL458746 OCG458734:OCH458746 OMC458734:OMD458746 OVY458734:OVZ458746 PFU458734:PFV458746 PPQ458734:PPR458746 PZM458734:PZN458746 QJI458734:QJJ458746 QTE458734:QTF458746 RDA458734:RDB458746 RMW458734:RMX458746 RWS458734:RWT458746 SGO458734:SGP458746 SQK458734:SQL458746 TAG458734:TAH458746 TKC458734:TKD458746 TTY458734:TTZ458746 UDU458734:UDV458746 UNQ458734:UNR458746 UXM458734:UXN458746 VHI458734:VHJ458746 VRE458734:VRF458746 WBA458734:WBB458746 WKW458734:WKX458746 WUS458734:WUT458746 IG524270:IH524282 SC524270:SD524282 ABY524270:ABZ524282 ALU524270:ALV524282 AVQ524270:AVR524282 BFM524270:BFN524282 BPI524270:BPJ524282 BZE524270:BZF524282 CJA524270:CJB524282 CSW524270:CSX524282 DCS524270:DCT524282 DMO524270:DMP524282 DWK524270:DWL524282 EGG524270:EGH524282 EQC524270:EQD524282 EZY524270:EZZ524282 FJU524270:FJV524282 FTQ524270:FTR524282 GDM524270:GDN524282 GNI524270:GNJ524282 GXE524270:GXF524282 HHA524270:HHB524282 HQW524270:HQX524282 IAS524270:IAT524282 IKO524270:IKP524282 IUK524270:IUL524282 JEG524270:JEH524282 JOC524270:JOD524282 JXY524270:JXZ524282 KHU524270:KHV524282 KRQ524270:KRR524282 LBM524270:LBN524282 LLI524270:LLJ524282 LVE524270:LVF524282 MFA524270:MFB524282 MOW524270:MOX524282 MYS524270:MYT524282 NIO524270:NIP524282 NSK524270:NSL524282 OCG524270:OCH524282 OMC524270:OMD524282 OVY524270:OVZ524282 PFU524270:PFV524282 PPQ524270:PPR524282 PZM524270:PZN524282 QJI524270:QJJ524282 QTE524270:QTF524282 RDA524270:RDB524282 RMW524270:RMX524282 RWS524270:RWT524282 SGO524270:SGP524282 SQK524270:SQL524282 TAG524270:TAH524282 TKC524270:TKD524282 TTY524270:TTZ524282 UDU524270:UDV524282 UNQ524270:UNR524282 UXM524270:UXN524282 VHI524270:VHJ524282 VRE524270:VRF524282 WBA524270:WBB524282 WKW524270:WKX524282 WUS524270:WUT524282 IG589806:IH589818 SC589806:SD589818 ABY589806:ABZ589818 ALU589806:ALV589818 AVQ589806:AVR589818 BFM589806:BFN589818 BPI589806:BPJ589818 BZE589806:BZF589818 CJA589806:CJB589818 CSW589806:CSX589818 DCS589806:DCT589818 DMO589806:DMP589818 DWK589806:DWL589818 EGG589806:EGH589818 EQC589806:EQD589818 EZY589806:EZZ589818 FJU589806:FJV589818 FTQ589806:FTR589818 GDM589806:GDN589818 GNI589806:GNJ589818 GXE589806:GXF589818 HHA589806:HHB589818 HQW589806:HQX589818 IAS589806:IAT589818 IKO589806:IKP589818 IUK589806:IUL589818 JEG589806:JEH589818 JOC589806:JOD589818 JXY589806:JXZ589818 KHU589806:KHV589818 KRQ589806:KRR589818 LBM589806:LBN589818 LLI589806:LLJ589818 LVE589806:LVF589818 MFA589806:MFB589818 MOW589806:MOX589818 MYS589806:MYT589818 NIO589806:NIP589818 NSK589806:NSL589818 OCG589806:OCH589818 OMC589806:OMD589818 OVY589806:OVZ589818 PFU589806:PFV589818 PPQ589806:PPR589818 PZM589806:PZN589818 QJI589806:QJJ589818 QTE589806:QTF589818 RDA589806:RDB589818 RMW589806:RMX589818 RWS589806:RWT589818 SGO589806:SGP589818 SQK589806:SQL589818 TAG589806:TAH589818 TKC589806:TKD589818 TTY589806:TTZ589818 UDU589806:UDV589818 UNQ589806:UNR589818 UXM589806:UXN589818 VHI589806:VHJ589818 VRE589806:VRF589818 WBA589806:WBB589818 WKW589806:WKX589818 WUS589806:WUT589818 IG655342:IH655354 SC655342:SD655354 ABY655342:ABZ655354 ALU655342:ALV655354 AVQ655342:AVR655354 BFM655342:BFN655354 BPI655342:BPJ655354 BZE655342:BZF655354 CJA655342:CJB655354 CSW655342:CSX655354 DCS655342:DCT655354 DMO655342:DMP655354 DWK655342:DWL655354 EGG655342:EGH655354 EQC655342:EQD655354 EZY655342:EZZ655354 FJU655342:FJV655354 FTQ655342:FTR655354 GDM655342:GDN655354 GNI655342:GNJ655354 GXE655342:GXF655354 HHA655342:HHB655354 HQW655342:HQX655354 IAS655342:IAT655354 IKO655342:IKP655354 IUK655342:IUL655354 JEG655342:JEH655354 JOC655342:JOD655354 JXY655342:JXZ655354 KHU655342:KHV655354 KRQ655342:KRR655354 LBM655342:LBN655354 LLI655342:LLJ655354 LVE655342:LVF655354 MFA655342:MFB655354 MOW655342:MOX655354 MYS655342:MYT655354 NIO655342:NIP655354 NSK655342:NSL655354 OCG655342:OCH655354 OMC655342:OMD655354 OVY655342:OVZ655354 PFU655342:PFV655354 PPQ655342:PPR655354 PZM655342:PZN655354 QJI655342:QJJ655354 QTE655342:QTF655354 RDA655342:RDB655354 RMW655342:RMX655354 RWS655342:RWT655354 SGO655342:SGP655354 SQK655342:SQL655354 TAG655342:TAH655354 TKC655342:TKD655354 TTY655342:TTZ655354 UDU655342:UDV655354 UNQ655342:UNR655354 UXM655342:UXN655354 VHI655342:VHJ655354 VRE655342:VRF655354 WBA655342:WBB655354 WKW655342:WKX655354 WUS655342:WUT655354 IG720878:IH720890 SC720878:SD720890 ABY720878:ABZ720890 ALU720878:ALV720890 AVQ720878:AVR720890 BFM720878:BFN720890 BPI720878:BPJ720890 BZE720878:BZF720890 CJA720878:CJB720890 CSW720878:CSX720890 DCS720878:DCT720890 DMO720878:DMP720890 DWK720878:DWL720890 EGG720878:EGH720890 EQC720878:EQD720890 EZY720878:EZZ720890 FJU720878:FJV720890 FTQ720878:FTR720890 GDM720878:GDN720890 GNI720878:GNJ720890 GXE720878:GXF720890 HHA720878:HHB720890 HQW720878:HQX720890 IAS720878:IAT720890 IKO720878:IKP720890 IUK720878:IUL720890 JEG720878:JEH720890 JOC720878:JOD720890 JXY720878:JXZ720890 KHU720878:KHV720890 KRQ720878:KRR720890 LBM720878:LBN720890 LLI720878:LLJ720890 LVE720878:LVF720890 MFA720878:MFB720890 MOW720878:MOX720890 MYS720878:MYT720890 NIO720878:NIP720890 NSK720878:NSL720890 OCG720878:OCH720890 OMC720878:OMD720890 OVY720878:OVZ720890 PFU720878:PFV720890 PPQ720878:PPR720890 PZM720878:PZN720890 QJI720878:QJJ720890 QTE720878:QTF720890 RDA720878:RDB720890 RMW720878:RMX720890 RWS720878:RWT720890 SGO720878:SGP720890 SQK720878:SQL720890 TAG720878:TAH720890 TKC720878:TKD720890 TTY720878:TTZ720890 UDU720878:UDV720890 UNQ720878:UNR720890 UXM720878:UXN720890 VHI720878:VHJ720890 VRE720878:VRF720890 WBA720878:WBB720890 WKW720878:WKX720890 WUS720878:WUT720890 IG786414:IH786426 SC786414:SD786426 ABY786414:ABZ786426 ALU786414:ALV786426 AVQ786414:AVR786426 BFM786414:BFN786426 BPI786414:BPJ786426 BZE786414:BZF786426 CJA786414:CJB786426 CSW786414:CSX786426 DCS786414:DCT786426 DMO786414:DMP786426 DWK786414:DWL786426 EGG786414:EGH786426 EQC786414:EQD786426 EZY786414:EZZ786426 FJU786414:FJV786426 FTQ786414:FTR786426 GDM786414:GDN786426 GNI786414:GNJ786426 GXE786414:GXF786426 HHA786414:HHB786426 HQW786414:HQX786426 IAS786414:IAT786426 IKO786414:IKP786426 IUK786414:IUL786426 JEG786414:JEH786426 JOC786414:JOD786426 JXY786414:JXZ786426 KHU786414:KHV786426 KRQ786414:KRR786426 LBM786414:LBN786426 LLI786414:LLJ786426 LVE786414:LVF786426 MFA786414:MFB786426 MOW786414:MOX786426 MYS786414:MYT786426 NIO786414:NIP786426 NSK786414:NSL786426 OCG786414:OCH786426 OMC786414:OMD786426 OVY786414:OVZ786426 PFU786414:PFV786426 PPQ786414:PPR786426 PZM786414:PZN786426 QJI786414:QJJ786426 QTE786414:QTF786426 RDA786414:RDB786426 RMW786414:RMX786426 RWS786414:RWT786426 SGO786414:SGP786426 SQK786414:SQL786426 TAG786414:TAH786426 TKC786414:TKD786426 TTY786414:TTZ786426 UDU786414:UDV786426 UNQ786414:UNR786426 UXM786414:UXN786426 VHI786414:VHJ786426 VRE786414:VRF786426 WBA786414:WBB786426 WKW786414:WKX786426 WUS786414:WUT786426 IG851950:IH851962 SC851950:SD851962 ABY851950:ABZ851962 ALU851950:ALV851962 AVQ851950:AVR851962 BFM851950:BFN851962 BPI851950:BPJ851962 BZE851950:BZF851962 CJA851950:CJB851962 CSW851950:CSX851962 DCS851950:DCT851962 DMO851950:DMP851962 DWK851950:DWL851962 EGG851950:EGH851962 EQC851950:EQD851962 EZY851950:EZZ851962 FJU851950:FJV851962 FTQ851950:FTR851962 GDM851950:GDN851962 GNI851950:GNJ851962 GXE851950:GXF851962 HHA851950:HHB851962 HQW851950:HQX851962 IAS851950:IAT851962 IKO851950:IKP851962 IUK851950:IUL851962 JEG851950:JEH851962 JOC851950:JOD851962 JXY851950:JXZ851962 KHU851950:KHV851962 KRQ851950:KRR851962 LBM851950:LBN851962 LLI851950:LLJ851962 LVE851950:LVF851962 MFA851950:MFB851962 MOW851950:MOX851962 MYS851950:MYT851962 NIO851950:NIP851962 NSK851950:NSL851962 OCG851950:OCH851962 OMC851950:OMD851962 OVY851950:OVZ851962 PFU851950:PFV851962 PPQ851950:PPR851962 PZM851950:PZN851962 QJI851950:QJJ851962 QTE851950:QTF851962 RDA851950:RDB851962 RMW851950:RMX851962 RWS851950:RWT851962 SGO851950:SGP851962 SQK851950:SQL851962 TAG851950:TAH851962 TKC851950:TKD851962 TTY851950:TTZ851962 UDU851950:UDV851962 UNQ851950:UNR851962 UXM851950:UXN851962 VHI851950:VHJ851962 VRE851950:VRF851962 WBA851950:WBB851962 WKW851950:WKX851962 WUS851950:WUT851962 IG917486:IH917498 SC917486:SD917498 ABY917486:ABZ917498 ALU917486:ALV917498 AVQ917486:AVR917498 BFM917486:BFN917498 BPI917486:BPJ917498 BZE917486:BZF917498 CJA917486:CJB917498 CSW917486:CSX917498 DCS917486:DCT917498 DMO917486:DMP917498 DWK917486:DWL917498 EGG917486:EGH917498 EQC917486:EQD917498 EZY917486:EZZ917498 FJU917486:FJV917498 FTQ917486:FTR917498 GDM917486:GDN917498 GNI917486:GNJ917498 GXE917486:GXF917498 HHA917486:HHB917498 HQW917486:HQX917498 IAS917486:IAT917498 IKO917486:IKP917498 IUK917486:IUL917498 JEG917486:JEH917498 JOC917486:JOD917498 JXY917486:JXZ917498 KHU917486:KHV917498 KRQ917486:KRR917498 LBM917486:LBN917498 LLI917486:LLJ917498 LVE917486:LVF917498 MFA917486:MFB917498 MOW917486:MOX917498 MYS917486:MYT917498 NIO917486:NIP917498 NSK917486:NSL917498 OCG917486:OCH917498 OMC917486:OMD917498 OVY917486:OVZ917498 PFU917486:PFV917498 PPQ917486:PPR917498 PZM917486:PZN917498 QJI917486:QJJ917498 QTE917486:QTF917498 RDA917486:RDB917498 RMW917486:RMX917498 RWS917486:RWT917498 SGO917486:SGP917498 SQK917486:SQL917498 TAG917486:TAH917498 TKC917486:TKD917498 TTY917486:TTZ917498 UDU917486:UDV917498 UNQ917486:UNR917498 UXM917486:UXN917498 VHI917486:VHJ917498 VRE917486:VRF917498 WBA917486:WBB917498 WKW917486:WKX917498 WUS917486:WUT917498 IG983022:IH983034 SC983022:SD983034 ABY983022:ABZ983034 ALU983022:ALV983034 AVQ983022:AVR983034 BFM983022:BFN983034 BPI983022:BPJ983034 BZE983022:BZF983034 CJA983022:CJB983034 CSW983022:CSX983034 DCS983022:DCT983034 DMO983022:DMP983034 DWK983022:DWL983034 EGG983022:EGH983034 EQC983022:EQD983034 EZY983022:EZZ983034 FJU983022:FJV983034 FTQ983022:FTR983034 GDM983022:GDN983034 GNI983022:GNJ983034 GXE983022:GXF983034 HHA983022:HHB983034 HQW983022:HQX983034 IAS983022:IAT983034 IKO983022:IKP983034 IUK983022:IUL983034 JEG983022:JEH983034 JOC983022:JOD983034 JXY983022:JXZ983034 KHU983022:KHV983034 KRQ983022:KRR983034 LBM983022:LBN983034 LLI983022:LLJ983034 LVE983022:LVF983034 MFA983022:MFB983034 MOW983022:MOX983034 MYS983022:MYT983034 NIO983022:NIP983034 NSK983022:NSL983034 OCG983022:OCH983034 OMC983022:OMD983034 OVY983022:OVZ983034 PFU983022:PFV983034 PPQ983022:PPR983034 PZM983022:PZN983034 QJI983022:QJJ983034 QTE983022:QTF983034 RDA983022:RDB983034 RMW983022:RMX983034 RWS983022:RWT983034 SGO983022:SGP983034 SQK983022:SQL983034 TAG983022:TAH983034 TKC983022:TKD983034 TTY983022:TTZ983034 UDU983022:UDV983034 UNQ983022:UNR983034 UXM983022:UXN983034 VHI983022:VHJ983034 VRE983022:VRF983034 WBA983022:WBB983034 WKW983022:WKX983034 WUS983022:WUT983034 IG65540:IH65552 SC65540:SD65552 ABY65540:ABZ65552 ALU65540:ALV65552 AVQ65540:AVR65552 BFM65540:BFN65552 BPI65540:BPJ65552 BZE65540:BZF65552 CJA65540:CJB65552 CSW65540:CSX65552 DCS65540:DCT65552 DMO65540:DMP65552 DWK65540:DWL65552 EGG65540:EGH65552 EQC65540:EQD65552 EZY65540:EZZ65552 FJU65540:FJV65552 FTQ65540:FTR65552 GDM65540:GDN65552 GNI65540:GNJ65552 GXE65540:GXF65552 HHA65540:HHB65552 HQW65540:HQX65552 IAS65540:IAT65552 IKO65540:IKP65552 IUK65540:IUL65552 JEG65540:JEH65552 JOC65540:JOD65552 JXY65540:JXZ65552 KHU65540:KHV65552 KRQ65540:KRR65552 LBM65540:LBN65552 LLI65540:LLJ65552 LVE65540:LVF65552 MFA65540:MFB65552 MOW65540:MOX65552 MYS65540:MYT65552 NIO65540:NIP65552 NSK65540:NSL65552 OCG65540:OCH65552 OMC65540:OMD65552 OVY65540:OVZ65552 PFU65540:PFV65552 PPQ65540:PPR65552 PZM65540:PZN65552 QJI65540:QJJ65552 QTE65540:QTF65552 RDA65540:RDB65552 RMW65540:RMX65552 RWS65540:RWT65552 SGO65540:SGP65552 SQK65540:SQL65552 TAG65540:TAH65552 TKC65540:TKD65552 TTY65540:TTZ65552 UDU65540:UDV65552 UNQ65540:UNR65552 UXM65540:UXN65552 VHI65540:VHJ65552 VRE65540:VRF65552 WBA65540:WBB65552 WKW65540:WKX65552 WUS65540:WUT65552 IG131076:IH131088 SC131076:SD131088 ABY131076:ABZ131088 ALU131076:ALV131088 AVQ131076:AVR131088 BFM131076:BFN131088 BPI131076:BPJ131088 BZE131076:BZF131088 CJA131076:CJB131088 CSW131076:CSX131088 DCS131076:DCT131088 DMO131076:DMP131088 DWK131076:DWL131088 EGG131076:EGH131088 EQC131076:EQD131088 EZY131076:EZZ131088 FJU131076:FJV131088 FTQ131076:FTR131088 GDM131076:GDN131088 GNI131076:GNJ131088 GXE131076:GXF131088 HHA131076:HHB131088 HQW131076:HQX131088 IAS131076:IAT131088 IKO131076:IKP131088 IUK131076:IUL131088 JEG131076:JEH131088 JOC131076:JOD131088 JXY131076:JXZ131088 KHU131076:KHV131088 KRQ131076:KRR131088 LBM131076:LBN131088 LLI131076:LLJ131088 LVE131076:LVF131088 MFA131076:MFB131088 MOW131076:MOX131088 MYS131076:MYT131088 NIO131076:NIP131088 NSK131076:NSL131088 OCG131076:OCH131088 OMC131076:OMD131088 OVY131076:OVZ131088 PFU131076:PFV131088 PPQ131076:PPR131088 PZM131076:PZN131088 QJI131076:QJJ131088 QTE131076:QTF131088 RDA131076:RDB131088 RMW131076:RMX131088 RWS131076:RWT131088 SGO131076:SGP131088 SQK131076:SQL131088 TAG131076:TAH131088 TKC131076:TKD131088 TTY131076:TTZ131088 UDU131076:UDV131088 UNQ131076:UNR131088 UXM131076:UXN131088 VHI131076:VHJ131088 VRE131076:VRF131088 WBA131076:WBB131088 WKW131076:WKX131088 WUS131076:WUT131088 IG196612:IH196624 SC196612:SD196624 ABY196612:ABZ196624 ALU196612:ALV196624 AVQ196612:AVR196624 BFM196612:BFN196624 BPI196612:BPJ196624 BZE196612:BZF196624 CJA196612:CJB196624 CSW196612:CSX196624 DCS196612:DCT196624 DMO196612:DMP196624 DWK196612:DWL196624 EGG196612:EGH196624 EQC196612:EQD196624 EZY196612:EZZ196624 FJU196612:FJV196624 FTQ196612:FTR196624 GDM196612:GDN196624 GNI196612:GNJ196624 GXE196612:GXF196624 HHA196612:HHB196624 HQW196612:HQX196624 IAS196612:IAT196624 IKO196612:IKP196624 IUK196612:IUL196624 JEG196612:JEH196624 JOC196612:JOD196624 JXY196612:JXZ196624 KHU196612:KHV196624 KRQ196612:KRR196624 LBM196612:LBN196624 LLI196612:LLJ196624 LVE196612:LVF196624 MFA196612:MFB196624 MOW196612:MOX196624 MYS196612:MYT196624 NIO196612:NIP196624 NSK196612:NSL196624 OCG196612:OCH196624 OMC196612:OMD196624 OVY196612:OVZ196624 PFU196612:PFV196624 PPQ196612:PPR196624 PZM196612:PZN196624 QJI196612:QJJ196624 QTE196612:QTF196624 RDA196612:RDB196624 RMW196612:RMX196624 RWS196612:RWT196624 SGO196612:SGP196624 SQK196612:SQL196624 TAG196612:TAH196624 TKC196612:TKD196624 TTY196612:TTZ196624 UDU196612:UDV196624 UNQ196612:UNR196624 UXM196612:UXN196624 VHI196612:VHJ196624 VRE196612:VRF196624 WBA196612:WBB196624 WKW196612:WKX196624 WUS196612:WUT196624 IG262148:IH262160 SC262148:SD262160 ABY262148:ABZ262160 ALU262148:ALV262160 AVQ262148:AVR262160 BFM262148:BFN262160 BPI262148:BPJ262160 BZE262148:BZF262160 CJA262148:CJB262160 CSW262148:CSX262160 DCS262148:DCT262160 DMO262148:DMP262160 DWK262148:DWL262160 EGG262148:EGH262160 EQC262148:EQD262160 EZY262148:EZZ262160 FJU262148:FJV262160 FTQ262148:FTR262160 GDM262148:GDN262160 GNI262148:GNJ262160 GXE262148:GXF262160 HHA262148:HHB262160 HQW262148:HQX262160 IAS262148:IAT262160 IKO262148:IKP262160 IUK262148:IUL262160 JEG262148:JEH262160 JOC262148:JOD262160 JXY262148:JXZ262160 KHU262148:KHV262160 KRQ262148:KRR262160 LBM262148:LBN262160 LLI262148:LLJ262160 LVE262148:LVF262160 MFA262148:MFB262160 MOW262148:MOX262160 MYS262148:MYT262160 NIO262148:NIP262160 NSK262148:NSL262160 OCG262148:OCH262160 OMC262148:OMD262160 OVY262148:OVZ262160 PFU262148:PFV262160 PPQ262148:PPR262160 PZM262148:PZN262160 QJI262148:QJJ262160 QTE262148:QTF262160 RDA262148:RDB262160 RMW262148:RMX262160 RWS262148:RWT262160 SGO262148:SGP262160 SQK262148:SQL262160 TAG262148:TAH262160 TKC262148:TKD262160 TTY262148:TTZ262160 UDU262148:UDV262160 UNQ262148:UNR262160 UXM262148:UXN262160 VHI262148:VHJ262160 VRE262148:VRF262160 WBA262148:WBB262160 WKW262148:WKX262160 WUS262148:WUT262160 IG327684:IH327696 SC327684:SD327696 ABY327684:ABZ327696 ALU327684:ALV327696 AVQ327684:AVR327696 BFM327684:BFN327696 BPI327684:BPJ327696 BZE327684:BZF327696 CJA327684:CJB327696 CSW327684:CSX327696 DCS327684:DCT327696 DMO327684:DMP327696 DWK327684:DWL327696 EGG327684:EGH327696 EQC327684:EQD327696 EZY327684:EZZ327696 FJU327684:FJV327696 FTQ327684:FTR327696 GDM327684:GDN327696 GNI327684:GNJ327696 GXE327684:GXF327696 HHA327684:HHB327696 HQW327684:HQX327696 IAS327684:IAT327696 IKO327684:IKP327696 IUK327684:IUL327696 JEG327684:JEH327696 JOC327684:JOD327696 JXY327684:JXZ327696 KHU327684:KHV327696 KRQ327684:KRR327696 LBM327684:LBN327696 LLI327684:LLJ327696 LVE327684:LVF327696 MFA327684:MFB327696 MOW327684:MOX327696 MYS327684:MYT327696 NIO327684:NIP327696 NSK327684:NSL327696 OCG327684:OCH327696 OMC327684:OMD327696 OVY327684:OVZ327696 PFU327684:PFV327696 PPQ327684:PPR327696 PZM327684:PZN327696 QJI327684:QJJ327696 QTE327684:QTF327696 RDA327684:RDB327696 RMW327684:RMX327696 RWS327684:RWT327696 SGO327684:SGP327696 SQK327684:SQL327696 TAG327684:TAH327696 TKC327684:TKD327696 TTY327684:TTZ327696 UDU327684:UDV327696 UNQ327684:UNR327696 UXM327684:UXN327696 VHI327684:VHJ327696 VRE327684:VRF327696 WBA327684:WBB327696 WKW327684:WKX327696 WUS327684:WUT327696 IG393220:IH393232 SC393220:SD393232 ABY393220:ABZ393232 ALU393220:ALV393232 AVQ393220:AVR393232 BFM393220:BFN393232 BPI393220:BPJ393232 BZE393220:BZF393232 CJA393220:CJB393232 CSW393220:CSX393232 DCS393220:DCT393232 DMO393220:DMP393232 DWK393220:DWL393232 EGG393220:EGH393232 EQC393220:EQD393232 EZY393220:EZZ393232 FJU393220:FJV393232 FTQ393220:FTR393232 GDM393220:GDN393232 GNI393220:GNJ393232 GXE393220:GXF393232 HHA393220:HHB393232 HQW393220:HQX393232 IAS393220:IAT393232 IKO393220:IKP393232 IUK393220:IUL393232 JEG393220:JEH393232 JOC393220:JOD393232 JXY393220:JXZ393232 KHU393220:KHV393232 KRQ393220:KRR393232 LBM393220:LBN393232 LLI393220:LLJ393232 LVE393220:LVF393232 MFA393220:MFB393232 MOW393220:MOX393232 MYS393220:MYT393232 NIO393220:NIP393232 NSK393220:NSL393232 OCG393220:OCH393232 OMC393220:OMD393232 OVY393220:OVZ393232 PFU393220:PFV393232 PPQ393220:PPR393232 PZM393220:PZN393232 QJI393220:QJJ393232 QTE393220:QTF393232 RDA393220:RDB393232 RMW393220:RMX393232 RWS393220:RWT393232 SGO393220:SGP393232 SQK393220:SQL393232 TAG393220:TAH393232 TKC393220:TKD393232 TTY393220:TTZ393232 UDU393220:UDV393232 UNQ393220:UNR393232 UXM393220:UXN393232 VHI393220:VHJ393232 VRE393220:VRF393232 WBA393220:WBB393232 WKW393220:WKX393232 WUS393220:WUT393232 IG458756:IH458768 SC458756:SD458768 ABY458756:ABZ458768 ALU458756:ALV458768 AVQ458756:AVR458768 BFM458756:BFN458768 BPI458756:BPJ458768 BZE458756:BZF458768 CJA458756:CJB458768 CSW458756:CSX458768 DCS458756:DCT458768 DMO458756:DMP458768 DWK458756:DWL458768 EGG458756:EGH458768 EQC458756:EQD458768 EZY458756:EZZ458768 FJU458756:FJV458768 FTQ458756:FTR458768 GDM458756:GDN458768 GNI458756:GNJ458768 GXE458756:GXF458768 HHA458756:HHB458768 HQW458756:HQX458768 IAS458756:IAT458768 IKO458756:IKP458768 IUK458756:IUL458768 JEG458756:JEH458768 JOC458756:JOD458768 JXY458756:JXZ458768 KHU458756:KHV458768 KRQ458756:KRR458768 LBM458756:LBN458768 LLI458756:LLJ458768 LVE458756:LVF458768 MFA458756:MFB458768 MOW458756:MOX458768 MYS458756:MYT458768 NIO458756:NIP458768 NSK458756:NSL458768 OCG458756:OCH458768 OMC458756:OMD458768 OVY458756:OVZ458768 PFU458756:PFV458768 PPQ458756:PPR458768 PZM458756:PZN458768 QJI458756:QJJ458768 QTE458756:QTF458768 RDA458756:RDB458768 RMW458756:RMX458768 RWS458756:RWT458768 SGO458756:SGP458768 SQK458756:SQL458768 TAG458756:TAH458768 TKC458756:TKD458768 TTY458756:TTZ458768 UDU458756:UDV458768 UNQ458756:UNR458768 UXM458756:UXN458768 VHI458756:VHJ458768 VRE458756:VRF458768 WBA458756:WBB458768 WKW458756:WKX458768 WUS458756:WUT458768 IG524292:IH524304 SC524292:SD524304 ABY524292:ABZ524304 ALU524292:ALV524304 AVQ524292:AVR524304 BFM524292:BFN524304 BPI524292:BPJ524304 BZE524292:BZF524304 CJA524292:CJB524304 CSW524292:CSX524304 DCS524292:DCT524304 DMO524292:DMP524304 DWK524292:DWL524304 EGG524292:EGH524304 EQC524292:EQD524304 EZY524292:EZZ524304 FJU524292:FJV524304 FTQ524292:FTR524304 GDM524292:GDN524304 GNI524292:GNJ524304 GXE524292:GXF524304 HHA524292:HHB524304 HQW524292:HQX524304 IAS524292:IAT524304 IKO524292:IKP524304 IUK524292:IUL524304 JEG524292:JEH524304 JOC524292:JOD524304 JXY524292:JXZ524304 KHU524292:KHV524304 KRQ524292:KRR524304 LBM524292:LBN524304 LLI524292:LLJ524304 LVE524292:LVF524304 MFA524292:MFB524304 MOW524292:MOX524304 MYS524292:MYT524304 NIO524292:NIP524304 NSK524292:NSL524304 OCG524292:OCH524304 OMC524292:OMD524304 OVY524292:OVZ524304 PFU524292:PFV524304 PPQ524292:PPR524304 PZM524292:PZN524304 QJI524292:QJJ524304 QTE524292:QTF524304 RDA524292:RDB524304 RMW524292:RMX524304 RWS524292:RWT524304 SGO524292:SGP524304 SQK524292:SQL524304 TAG524292:TAH524304 TKC524292:TKD524304 TTY524292:TTZ524304 UDU524292:UDV524304 UNQ524292:UNR524304 UXM524292:UXN524304 VHI524292:VHJ524304 VRE524292:VRF524304 WBA524292:WBB524304 WKW524292:WKX524304 WUS524292:WUT524304 IG589828:IH589840 SC589828:SD589840 ABY589828:ABZ589840 ALU589828:ALV589840 AVQ589828:AVR589840 BFM589828:BFN589840 BPI589828:BPJ589840 BZE589828:BZF589840 CJA589828:CJB589840 CSW589828:CSX589840 DCS589828:DCT589840 DMO589828:DMP589840 DWK589828:DWL589840 EGG589828:EGH589840 EQC589828:EQD589840 EZY589828:EZZ589840 FJU589828:FJV589840 FTQ589828:FTR589840 GDM589828:GDN589840 GNI589828:GNJ589840 GXE589828:GXF589840 HHA589828:HHB589840 HQW589828:HQX589840 IAS589828:IAT589840 IKO589828:IKP589840 IUK589828:IUL589840 JEG589828:JEH589840 JOC589828:JOD589840 JXY589828:JXZ589840 KHU589828:KHV589840 KRQ589828:KRR589840 LBM589828:LBN589840 LLI589828:LLJ589840 LVE589828:LVF589840 MFA589828:MFB589840 MOW589828:MOX589840 MYS589828:MYT589840 NIO589828:NIP589840 NSK589828:NSL589840 OCG589828:OCH589840 OMC589828:OMD589840 OVY589828:OVZ589840 PFU589828:PFV589840 PPQ589828:PPR589840 PZM589828:PZN589840 QJI589828:QJJ589840 QTE589828:QTF589840 RDA589828:RDB589840 RMW589828:RMX589840 RWS589828:RWT589840 SGO589828:SGP589840 SQK589828:SQL589840 TAG589828:TAH589840 TKC589828:TKD589840 TTY589828:TTZ589840 UDU589828:UDV589840 UNQ589828:UNR589840 UXM589828:UXN589840 VHI589828:VHJ589840 VRE589828:VRF589840 WBA589828:WBB589840 WKW589828:WKX589840 WUS589828:WUT589840 IG655364:IH655376 SC655364:SD655376 ABY655364:ABZ655376 ALU655364:ALV655376 AVQ655364:AVR655376 BFM655364:BFN655376 BPI655364:BPJ655376 BZE655364:BZF655376 CJA655364:CJB655376 CSW655364:CSX655376 DCS655364:DCT655376 DMO655364:DMP655376 DWK655364:DWL655376 EGG655364:EGH655376 EQC655364:EQD655376 EZY655364:EZZ655376 FJU655364:FJV655376 FTQ655364:FTR655376 GDM655364:GDN655376 GNI655364:GNJ655376 GXE655364:GXF655376 HHA655364:HHB655376 HQW655364:HQX655376 IAS655364:IAT655376 IKO655364:IKP655376 IUK655364:IUL655376 JEG655364:JEH655376 JOC655364:JOD655376 JXY655364:JXZ655376 KHU655364:KHV655376 KRQ655364:KRR655376 LBM655364:LBN655376 LLI655364:LLJ655376 LVE655364:LVF655376 MFA655364:MFB655376 MOW655364:MOX655376 MYS655364:MYT655376 NIO655364:NIP655376 NSK655364:NSL655376 OCG655364:OCH655376 OMC655364:OMD655376 OVY655364:OVZ655376 PFU655364:PFV655376 PPQ655364:PPR655376 PZM655364:PZN655376 QJI655364:QJJ655376 QTE655364:QTF655376 RDA655364:RDB655376 RMW655364:RMX655376 RWS655364:RWT655376 SGO655364:SGP655376 SQK655364:SQL655376 TAG655364:TAH655376 TKC655364:TKD655376 TTY655364:TTZ655376 UDU655364:UDV655376 UNQ655364:UNR655376 UXM655364:UXN655376 VHI655364:VHJ655376 VRE655364:VRF655376 WBA655364:WBB655376 WKW655364:WKX655376 WUS655364:WUT655376 IG720900:IH720912 SC720900:SD720912 ABY720900:ABZ720912 ALU720900:ALV720912 AVQ720900:AVR720912 BFM720900:BFN720912 BPI720900:BPJ720912 BZE720900:BZF720912 CJA720900:CJB720912 CSW720900:CSX720912 DCS720900:DCT720912 DMO720900:DMP720912 DWK720900:DWL720912 EGG720900:EGH720912 EQC720900:EQD720912 EZY720900:EZZ720912 FJU720900:FJV720912 FTQ720900:FTR720912 GDM720900:GDN720912 GNI720900:GNJ720912 GXE720900:GXF720912 HHA720900:HHB720912 HQW720900:HQX720912 IAS720900:IAT720912 IKO720900:IKP720912 IUK720900:IUL720912 JEG720900:JEH720912 JOC720900:JOD720912 JXY720900:JXZ720912 KHU720900:KHV720912 KRQ720900:KRR720912 LBM720900:LBN720912 LLI720900:LLJ720912 LVE720900:LVF720912 MFA720900:MFB720912 MOW720900:MOX720912 MYS720900:MYT720912 NIO720900:NIP720912 NSK720900:NSL720912 OCG720900:OCH720912 OMC720900:OMD720912 OVY720900:OVZ720912 PFU720900:PFV720912 PPQ720900:PPR720912 PZM720900:PZN720912 QJI720900:QJJ720912 QTE720900:QTF720912 RDA720900:RDB720912 RMW720900:RMX720912 RWS720900:RWT720912 SGO720900:SGP720912 SQK720900:SQL720912 TAG720900:TAH720912 TKC720900:TKD720912 TTY720900:TTZ720912 UDU720900:UDV720912 UNQ720900:UNR720912 UXM720900:UXN720912 VHI720900:VHJ720912 VRE720900:VRF720912 WBA720900:WBB720912 WKW720900:WKX720912 WUS720900:WUT720912 IG786436:IH786448 SC786436:SD786448 ABY786436:ABZ786448 ALU786436:ALV786448 AVQ786436:AVR786448 BFM786436:BFN786448 BPI786436:BPJ786448 BZE786436:BZF786448 CJA786436:CJB786448 CSW786436:CSX786448 DCS786436:DCT786448 DMO786436:DMP786448 DWK786436:DWL786448 EGG786436:EGH786448 EQC786436:EQD786448 EZY786436:EZZ786448 FJU786436:FJV786448 FTQ786436:FTR786448 GDM786436:GDN786448 GNI786436:GNJ786448 GXE786436:GXF786448 HHA786436:HHB786448 HQW786436:HQX786448 IAS786436:IAT786448 IKO786436:IKP786448 IUK786436:IUL786448 JEG786436:JEH786448 JOC786436:JOD786448 JXY786436:JXZ786448 KHU786436:KHV786448 KRQ786436:KRR786448 LBM786436:LBN786448 LLI786436:LLJ786448 LVE786436:LVF786448 MFA786436:MFB786448 MOW786436:MOX786448 MYS786436:MYT786448 NIO786436:NIP786448 NSK786436:NSL786448 OCG786436:OCH786448 OMC786436:OMD786448 OVY786436:OVZ786448 PFU786436:PFV786448 PPQ786436:PPR786448 PZM786436:PZN786448 QJI786436:QJJ786448 QTE786436:QTF786448 RDA786436:RDB786448 RMW786436:RMX786448 RWS786436:RWT786448 SGO786436:SGP786448 SQK786436:SQL786448 TAG786436:TAH786448 TKC786436:TKD786448 TTY786436:TTZ786448 UDU786436:UDV786448 UNQ786436:UNR786448 UXM786436:UXN786448 VHI786436:VHJ786448 VRE786436:VRF786448 WBA786436:WBB786448 WKW786436:WKX786448 WUS786436:WUT786448 IG851972:IH851984 SC851972:SD851984 ABY851972:ABZ851984 ALU851972:ALV851984 AVQ851972:AVR851984 BFM851972:BFN851984 BPI851972:BPJ851984 BZE851972:BZF851984 CJA851972:CJB851984 CSW851972:CSX851984 DCS851972:DCT851984 DMO851972:DMP851984 DWK851972:DWL851984 EGG851972:EGH851984 EQC851972:EQD851984 EZY851972:EZZ851984 FJU851972:FJV851984 FTQ851972:FTR851984 GDM851972:GDN851984 GNI851972:GNJ851984 GXE851972:GXF851984 HHA851972:HHB851984 HQW851972:HQX851984 IAS851972:IAT851984 IKO851972:IKP851984 IUK851972:IUL851984 JEG851972:JEH851984 JOC851972:JOD851984 JXY851972:JXZ851984 KHU851972:KHV851984 KRQ851972:KRR851984 LBM851972:LBN851984 LLI851972:LLJ851984 LVE851972:LVF851984 MFA851972:MFB851984 MOW851972:MOX851984 MYS851972:MYT851984 NIO851972:NIP851984 NSK851972:NSL851984 OCG851972:OCH851984 OMC851972:OMD851984 OVY851972:OVZ851984 PFU851972:PFV851984 PPQ851972:PPR851984 PZM851972:PZN851984 QJI851972:QJJ851984 QTE851972:QTF851984 RDA851972:RDB851984 RMW851972:RMX851984 RWS851972:RWT851984 SGO851972:SGP851984 SQK851972:SQL851984 TAG851972:TAH851984 TKC851972:TKD851984 TTY851972:TTZ851984 UDU851972:UDV851984 UNQ851972:UNR851984 UXM851972:UXN851984 VHI851972:VHJ851984 VRE851972:VRF851984 WBA851972:WBB851984 WKW851972:WKX851984 WUS851972:WUT851984 IG917508:IH917520 SC917508:SD917520 ABY917508:ABZ917520 ALU917508:ALV917520 AVQ917508:AVR917520 BFM917508:BFN917520 BPI917508:BPJ917520 BZE917508:BZF917520 CJA917508:CJB917520 CSW917508:CSX917520 DCS917508:DCT917520 DMO917508:DMP917520 DWK917508:DWL917520 EGG917508:EGH917520 EQC917508:EQD917520 EZY917508:EZZ917520 FJU917508:FJV917520 FTQ917508:FTR917520 GDM917508:GDN917520 GNI917508:GNJ917520 GXE917508:GXF917520 HHA917508:HHB917520 HQW917508:HQX917520 IAS917508:IAT917520 IKO917508:IKP917520 IUK917508:IUL917520 JEG917508:JEH917520 JOC917508:JOD917520 JXY917508:JXZ917520 KHU917508:KHV917520 KRQ917508:KRR917520 LBM917508:LBN917520 LLI917508:LLJ917520 LVE917508:LVF917520 MFA917508:MFB917520 MOW917508:MOX917520 MYS917508:MYT917520 NIO917508:NIP917520 NSK917508:NSL917520 OCG917508:OCH917520 OMC917508:OMD917520 OVY917508:OVZ917520 PFU917508:PFV917520 PPQ917508:PPR917520 PZM917508:PZN917520 QJI917508:QJJ917520 QTE917508:QTF917520 RDA917508:RDB917520 RMW917508:RMX917520 RWS917508:RWT917520 SGO917508:SGP917520 SQK917508:SQL917520 TAG917508:TAH917520 TKC917508:TKD917520 TTY917508:TTZ917520 UDU917508:UDV917520 UNQ917508:UNR917520 UXM917508:UXN917520 VHI917508:VHJ917520 VRE917508:VRF917520 WBA917508:WBB917520 WKW917508:WKX917520 WUS917508:WUT917520 IG983044:IH983056 SC983044:SD983056 ABY983044:ABZ983056 ALU983044:ALV983056 AVQ983044:AVR983056 BFM983044:BFN983056 BPI983044:BPJ983056 BZE983044:BZF983056 CJA983044:CJB983056 CSW983044:CSX983056 DCS983044:DCT983056 DMO983044:DMP983056 DWK983044:DWL983056 EGG983044:EGH983056 EQC983044:EQD983056 EZY983044:EZZ983056 FJU983044:FJV983056 FTQ983044:FTR983056 GDM983044:GDN983056 GNI983044:GNJ983056 GXE983044:GXF983056 HHA983044:HHB983056 HQW983044:HQX983056 IAS983044:IAT983056 IKO983044:IKP983056 IUK983044:IUL983056 JEG983044:JEH983056 JOC983044:JOD983056 JXY983044:JXZ983056 KHU983044:KHV983056 KRQ983044:KRR983056 LBM983044:LBN983056 LLI983044:LLJ983056 LVE983044:LVF983056 MFA983044:MFB983056 MOW983044:MOX983056 MYS983044:MYT983056 NIO983044:NIP983056 NSK983044:NSL983056 OCG983044:OCH983056 OMC983044:OMD983056 OVY983044:OVZ983056 PFU983044:PFV983056 PPQ983044:PPR983056 PZM983044:PZN983056 QJI983044:QJJ983056 QTE983044:QTF983056 RDA983044:RDB983056 RMW983044:RMX983056 RWS983044:RWT983056 SGO983044:SGP983056 SQK983044:SQL983056 TAG983044:TAH983056 TKC983044:TKD983056 TTY983044:TTZ983056 UDU983044:UDV983056 UNQ983044:UNR983056 UXM983044:UXN983056 VHI983044:VHJ983056 VRE983044:VRF983056 WBA983044:WBB983056 WKW983044:WKX983056 WUS983044:WUT983056 IO7:IP19 SK7:SL19 ACG7:ACH19 AMC7:AMD19 AVY7:AVZ19 BFU7:BFV19 BPQ7:BPR19 BZM7:BZN19 CJI7:CJJ19 CTE7:CTF19 DDA7:DDB19 DMW7:DMX19 DWS7:DWT19 EGO7:EGP19 EQK7:EQL19 FAG7:FAH19 FKC7:FKD19 FTY7:FTZ19 GDU7:GDV19 GNQ7:GNR19 GXM7:GXN19 HHI7:HHJ19 HRE7:HRF19 IBA7:IBB19 IKW7:IKX19 IUS7:IUT19 JEO7:JEP19 JOK7:JOL19 JYG7:JYH19 KIC7:KID19 KRY7:KRZ19 LBU7:LBV19 LLQ7:LLR19 LVM7:LVN19 MFI7:MFJ19 MPE7:MPF19 MZA7:MZB19 NIW7:NIX19 NSS7:NST19 OCO7:OCP19 OMK7:OML19 OWG7:OWH19 PGC7:PGD19 PPY7:PPZ19 PZU7:PZV19 QJQ7:QJR19 QTM7:QTN19 RDI7:RDJ19 RNE7:RNF19 RXA7:RXB19 SGW7:SGX19 SQS7:SQT19 TAO7:TAP19 TKK7:TKL19 TUG7:TUH19 UEC7:UED19 UNY7:UNZ19 UXU7:UXV19 VHQ7:VHR19 VRM7:VRN19 WBI7:WBJ19 WLE7:WLF19 WVA7:WVB19 IO65518:IP65530 SK65518:SL65530 ACG65518:ACH65530 AMC65518:AMD65530 AVY65518:AVZ65530 BFU65518:BFV65530 BPQ65518:BPR65530 BZM65518:BZN65530 CJI65518:CJJ65530 CTE65518:CTF65530 DDA65518:DDB65530 DMW65518:DMX65530 DWS65518:DWT65530 EGO65518:EGP65530 EQK65518:EQL65530 FAG65518:FAH65530 FKC65518:FKD65530 FTY65518:FTZ65530 GDU65518:GDV65530 GNQ65518:GNR65530 GXM65518:GXN65530 HHI65518:HHJ65530 HRE65518:HRF65530 IBA65518:IBB65530 IKW65518:IKX65530 IUS65518:IUT65530 JEO65518:JEP65530 JOK65518:JOL65530 JYG65518:JYH65530 KIC65518:KID65530 KRY65518:KRZ65530 LBU65518:LBV65530 LLQ65518:LLR65530 LVM65518:LVN65530 MFI65518:MFJ65530 MPE65518:MPF65530 MZA65518:MZB65530 NIW65518:NIX65530 NSS65518:NST65530 OCO65518:OCP65530 OMK65518:OML65530 OWG65518:OWH65530 PGC65518:PGD65530 PPY65518:PPZ65530 PZU65518:PZV65530 QJQ65518:QJR65530 QTM65518:QTN65530 RDI65518:RDJ65530 RNE65518:RNF65530 RXA65518:RXB65530 SGW65518:SGX65530 SQS65518:SQT65530 TAO65518:TAP65530 TKK65518:TKL65530 TUG65518:TUH65530 UEC65518:UED65530 UNY65518:UNZ65530 UXU65518:UXV65530 VHQ65518:VHR65530 VRM65518:VRN65530 WBI65518:WBJ65530 WLE65518:WLF65530 WVA65518:WVB65530 IO131054:IP131066 SK131054:SL131066 ACG131054:ACH131066 AMC131054:AMD131066 AVY131054:AVZ131066 BFU131054:BFV131066 BPQ131054:BPR131066 BZM131054:BZN131066 CJI131054:CJJ131066 CTE131054:CTF131066 DDA131054:DDB131066 DMW131054:DMX131066 DWS131054:DWT131066 EGO131054:EGP131066 EQK131054:EQL131066 FAG131054:FAH131066 FKC131054:FKD131066 FTY131054:FTZ131066 GDU131054:GDV131066 GNQ131054:GNR131066 GXM131054:GXN131066 HHI131054:HHJ131066 HRE131054:HRF131066 IBA131054:IBB131066 IKW131054:IKX131066 IUS131054:IUT131066 JEO131054:JEP131066 JOK131054:JOL131066 JYG131054:JYH131066 KIC131054:KID131066 KRY131054:KRZ131066 LBU131054:LBV131066 LLQ131054:LLR131066 LVM131054:LVN131066 MFI131054:MFJ131066 MPE131054:MPF131066 MZA131054:MZB131066 NIW131054:NIX131066 NSS131054:NST131066 OCO131054:OCP131066 OMK131054:OML131066 OWG131054:OWH131066 PGC131054:PGD131066 PPY131054:PPZ131066 PZU131054:PZV131066 QJQ131054:QJR131066 QTM131054:QTN131066 RDI131054:RDJ131066 RNE131054:RNF131066 RXA131054:RXB131066 SGW131054:SGX131066 SQS131054:SQT131066 TAO131054:TAP131066 TKK131054:TKL131066 TUG131054:TUH131066 UEC131054:UED131066 UNY131054:UNZ131066 UXU131054:UXV131066 VHQ131054:VHR131066 VRM131054:VRN131066 WBI131054:WBJ131066 WLE131054:WLF131066 WVA131054:WVB131066 IO196590:IP196602 SK196590:SL196602 ACG196590:ACH196602 AMC196590:AMD196602 AVY196590:AVZ196602 BFU196590:BFV196602 BPQ196590:BPR196602 BZM196590:BZN196602 CJI196590:CJJ196602 CTE196590:CTF196602 DDA196590:DDB196602 DMW196590:DMX196602 DWS196590:DWT196602 EGO196590:EGP196602 EQK196590:EQL196602 FAG196590:FAH196602 FKC196590:FKD196602 FTY196590:FTZ196602 GDU196590:GDV196602 GNQ196590:GNR196602 GXM196590:GXN196602 HHI196590:HHJ196602 HRE196590:HRF196602 IBA196590:IBB196602 IKW196590:IKX196602 IUS196590:IUT196602 JEO196590:JEP196602 JOK196590:JOL196602 JYG196590:JYH196602 KIC196590:KID196602 KRY196590:KRZ196602 LBU196590:LBV196602 LLQ196590:LLR196602 LVM196590:LVN196602 MFI196590:MFJ196602 MPE196590:MPF196602 MZA196590:MZB196602 NIW196590:NIX196602 NSS196590:NST196602 OCO196590:OCP196602 OMK196590:OML196602 OWG196590:OWH196602 PGC196590:PGD196602 PPY196590:PPZ196602 PZU196590:PZV196602 QJQ196590:QJR196602 QTM196590:QTN196602 RDI196590:RDJ196602 RNE196590:RNF196602 RXA196590:RXB196602 SGW196590:SGX196602 SQS196590:SQT196602 TAO196590:TAP196602 TKK196590:TKL196602 TUG196590:TUH196602 UEC196590:UED196602 UNY196590:UNZ196602 UXU196590:UXV196602 VHQ196590:VHR196602 VRM196590:VRN196602 WBI196590:WBJ196602 WLE196590:WLF196602 WVA196590:WVB196602 IO262126:IP262138 SK262126:SL262138 ACG262126:ACH262138 AMC262126:AMD262138 AVY262126:AVZ262138 BFU262126:BFV262138 BPQ262126:BPR262138 BZM262126:BZN262138 CJI262126:CJJ262138 CTE262126:CTF262138 DDA262126:DDB262138 DMW262126:DMX262138 DWS262126:DWT262138 EGO262126:EGP262138 EQK262126:EQL262138 FAG262126:FAH262138 FKC262126:FKD262138 FTY262126:FTZ262138 GDU262126:GDV262138 GNQ262126:GNR262138 GXM262126:GXN262138 HHI262126:HHJ262138 HRE262126:HRF262138 IBA262126:IBB262138 IKW262126:IKX262138 IUS262126:IUT262138 JEO262126:JEP262138 JOK262126:JOL262138 JYG262126:JYH262138 KIC262126:KID262138 KRY262126:KRZ262138 LBU262126:LBV262138 LLQ262126:LLR262138 LVM262126:LVN262138 MFI262126:MFJ262138 MPE262126:MPF262138 MZA262126:MZB262138 NIW262126:NIX262138 NSS262126:NST262138 OCO262126:OCP262138 OMK262126:OML262138 OWG262126:OWH262138 PGC262126:PGD262138 PPY262126:PPZ262138 PZU262126:PZV262138 QJQ262126:QJR262138 QTM262126:QTN262138 RDI262126:RDJ262138 RNE262126:RNF262138 RXA262126:RXB262138 SGW262126:SGX262138 SQS262126:SQT262138 TAO262126:TAP262138 TKK262126:TKL262138 TUG262126:TUH262138 UEC262126:UED262138 UNY262126:UNZ262138 UXU262126:UXV262138 VHQ262126:VHR262138 VRM262126:VRN262138 WBI262126:WBJ262138 WLE262126:WLF262138 WVA262126:WVB262138 IO327662:IP327674 SK327662:SL327674 ACG327662:ACH327674 AMC327662:AMD327674 AVY327662:AVZ327674 BFU327662:BFV327674 BPQ327662:BPR327674 BZM327662:BZN327674 CJI327662:CJJ327674 CTE327662:CTF327674 DDA327662:DDB327674 DMW327662:DMX327674 DWS327662:DWT327674 EGO327662:EGP327674 EQK327662:EQL327674 FAG327662:FAH327674 FKC327662:FKD327674 FTY327662:FTZ327674 GDU327662:GDV327674 GNQ327662:GNR327674 GXM327662:GXN327674 HHI327662:HHJ327674 HRE327662:HRF327674 IBA327662:IBB327674 IKW327662:IKX327674 IUS327662:IUT327674 JEO327662:JEP327674 JOK327662:JOL327674 JYG327662:JYH327674 KIC327662:KID327674 KRY327662:KRZ327674 LBU327662:LBV327674 LLQ327662:LLR327674 LVM327662:LVN327674 MFI327662:MFJ327674 MPE327662:MPF327674 MZA327662:MZB327674 NIW327662:NIX327674 NSS327662:NST327674 OCO327662:OCP327674 OMK327662:OML327674 OWG327662:OWH327674 PGC327662:PGD327674 PPY327662:PPZ327674 PZU327662:PZV327674 QJQ327662:QJR327674 QTM327662:QTN327674 RDI327662:RDJ327674 RNE327662:RNF327674 RXA327662:RXB327674 SGW327662:SGX327674 SQS327662:SQT327674 TAO327662:TAP327674 TKK327662:TKL327674 TUG327662:TUH327674 UEC327662:UED327674 UNY327662:UNZ327674 UXU327662:UXV327674 VHQ327662:VHR327674 VRM327662:VRN327674 WBI327662:WBJ327674 WLE327662:WLF327674 WVA327662:WVB327674 IO393198:IP393210 SK393198:SL393210 ACG393198:ACH393210 AMC393198:AMD393210 AVY393198:AVZ393210 BFU393198:BFV393210 BPQ393198:BPR393210 BZM393198:BZN393210 CJI393198:CJJ393210 CTE393198:CTF393210 DDA393198:DDB393210 DMW393198:DMX393210 DWS393198:DWT393210 EGO393198:EGP393210 EQK393198:EQL393210 FAG393198:FAH393210 FKC393198:FKD393210 FTY393198:FTZ393210 GDU393198:GDV393210 GNQ393198:GNR393210 GXM393198:GXN393210 HHI393198:HHJ393210 HRE393198:HRF393210 IBA393198:IBB393210 IKW393198:IKX393210 IUS393198:IUT393210 JEO393198:JEP393210 JOK393198:JOL393210 JYG393198:JYH393210 KIC393198:KID393210 KRY393198:KRZ393210 LBU393198:LBV393210 LLQ393198:LLR393210 LVM393198:LVN393210 MFI393198:MFJ393210 MPE393198:MPF393210 MZA393198:MZB393210 NIW393198:NIX393210 NSS393198:NST393210 OCO393198:OCP393210 OMK393198:OML393210 OWG393198:OWH393210 PGC393198:PGD393210 PPY393198:PPZ393210 PZU393198:PZV393210 QJQ393198:QJR393210 QTM393198:QTN393210 RDI393198:RDJ393210 RNE393198:RNF393210 RXA393198:RXB393210 SGW393198:SGX393210 SQS393198:SQT393210 TAO393198:TAP393210 TKK393198:TKL393210 TUG393198:TUH393210 UEC393198:UED393210 UNY393198:UNZ393210 UXU393198:UXV393210 VHQ393198:VHR393210 VRM393198:VRN393210 WBI393198:WBJ393210 WLE393198:WLF393210 WVA393198:WVB393210 IO458734:IP458746 SK458734:SL458746 ACG458734:ACH458746 AMC458734:AMD458746 AVY458734:AVZ458746 BFU458734:BFV458746 BPQ458734:BPR458746 BZM458734:BZN458746 CJI458734:CJJ458746 CTE458734:CTF458746 DDA458734:DDB458746 DMW458734:DMX458746 DWS458734:DWT458746 EGO458734:EGP458746 EQK458734:EQL458746 FAG458734:FAH458746 FKC458734:FKD458746 FTY458734:FTZ458746 GDU458734:GDV458746 GNQ458734:GNR458746 GXM458734:GXN458746 HHI458734:HHJ458746 HRE458734:HRF458746 IBA458734:IBB458746 IKW458734:IKX458746 IUS458734:IUT458746 JEO458734:JEP458746 JOK458734:JOL458746 JYG458734:JYH458746 KIC458734:KID458746 KRY458734:KRZ458746 LBU458734:LBV458746 LLQ458734:LLR458746 LVM458734:LVN458746 MFI458734:MFJ458746 MPE458734:MPF458746 MZA458734:MZB458746 NIW458734:NIX458746 NSS458734:NST458746 OCO458734:OCP458746 OMK458734:OML458746 OWG458734:OWH458746 PGC458734:PGD458746 PPY458734:PPZ458746 PZU458734:PZV458746 QJQ458734:QJR458746 QTM458734:QTN458746 RDI458734:RDJ458746 RNE458734:RNF458746 RXA458734:RXB458746 SGW458734:SGX458746 SQS458734:SQT458746 TAO458734:TAP458746 TKK458734:TKL458746 TUG458734:TUH458746 UEC458734:UED458746 UNY458734:UNZ458746 UXU458734:UXV458746 VHQ458734:VHR458746 VRM458734:VRN458746 WBI458734:WBJ458746 WLE458734:WLF458746 WVA458734:WVB458746 IO524270:IP524282 SK524270:SL524282 ACG524270:ACH524282 AMC524270:AMD524282 AVY524270:AVZ524282 BFU524270:BFV524282 BPQ524270:BPR524282 BZM524270:BZN524282 CJI524270:CJJ524282 CTE524270:CTF524282 DDA524270:DDB524282 DMW524270:DMX524282 DWS524270:DWT524282 EGO524270:EGP524282 EQK524270:EQL524282 FAG524270:FAH524282 FKC524270:FKD524282 FTY524270:FTZ524282 GDU524270:GDV524282 GNQ524270:GNR524282 GXM524270:GXN524282 HHI524270:HHJ524282 HRE524270:HRF524282 IBA524270:IBB524282 IKW524270:IKX524282 IUS524270:IUT524282 JEO524270:JEP524282 JOK524270:JOL524282 JYG524270:JYH524282 KIC524270:KID524282 KRY524270:KRZ524282 LBU524270:LBV524282 LLQ524270:LLR524282 LVM524270:LVN524282 MFI524270:MFJ524282 MPE524270:MPF524282 MZA524270:MZB524282 NIW524270:NIX524282 NSS524270:NST524282 OCO524270:OCP524282 OMK524270:OML524282 OWG524270:OWH524282 PGC524270:PGD524282 PPY524270:PPZ524282 PZU524270:PZV524282 QJQ524270:QJR524282 QTM524270:QTN524282 RDI524270:RDJ524282 RNE524270:RNF524282 RXA524270:RXB524282 SGW524270:SGX524282 SQS524270:SQT524282 TAO524270:TAP524282 TKK524270:TKL524282 TUG524270:TUH524282 UEC524270:UED524282 UNY524270:UNZ524282 UXU524270:UXV524282 VHQ524270:VHR524282 VRM524270:VRN524282 WBI524270:WBJ524282 WLE524270:WLF524282 WVA524270:WVB524282 IO589806:IP589818 SK589806:SL589818 ACG589806:ACH589818 AMC589806:AMD589818 AVY589806:AVZ589818 BFU589806:BFV589818 BPQ589806:BPR589818 BZM589806:BZN589818 CJI589806:CJJ589818 CTE589806:CTF589818 DDA589806:DDB589818 DMW589806:DMX589818 DWS589806:DWT589818 EGO589806:EGP589818 EQK589806:EQL589818 FAG589806:FAH589818 FKC589806:FKD589818 FTY589806:FTZ589818 GDU589806:GDV589818 GNQ589806:GNR589818 GXM589806:GXN589818 HHI589806:HHJ589818 HRE589806:HRF589818 IBA589806:IBB589818 IKW589806:IKX589818 IUS589806:IUT589818 JEO589806:JEP589818 JOK589806:JOL589818 JYG589806:JYH589818 KIC589806:KID589818 KRY589806:KRZ589818 LBU589806:LBV589818 LLQ589806:LLR589818 LVM589806:LVN589818 MFI589806:MFJ589818 MPE589806:MPF589818 MZA589806:MZB589818 NIW589806:NIX589818 NSS589806:NST589818 OCO589806:OCP589818 OMK589806:OML589818 OWG589806:OWH589818 PGC589806:PGD589818 PPY589806:PPZ589818 PZU589806:PZV589818 QJQ589806:QJR589818 QTM589806:QTN589818 RDI589806:RDJ589818 RNE589806:RNF589818 RXA589806:RXB589818 SGW589806:SGX589818 SQS589806:SQT589818 TAO589806:TAP589818 TKK589806:TKL589818 TUG589806:TUH589818 UEC589806:UED589818 UNY589806:UNZ589818 UXU589806:UXV589818 VHQ589806:VHR589818 VRM589806:VRN589818 WBI589806:WBJ589818 WLE589806:WLF589818 WVA589806:WVB589818 IO655342:IP655354 SK655342:SL655354 ACG655342:ACH655354 AMC655342:AMD655354 AVY655342:AVZ655354 BFU655342:BFV655354 BPQ655342:BPR655354 BZM655342:BZN655354 CJI655342:CJJ655354 CTE655342:CTF655354 DDA655342:DDB655354 DMW655342:DMX655354 DWS655342:DWT655354 EGO655342:EGP655354 EQK655342:EQL655354 FAG655342:FAH655354 FKC655342:FKD655354 FTY655342:FTZ655354 GDU655342:GDV655354 GNQ655342:GNR655354 GXM655342:GXN655354 HHI655342:HHJ655354 HRE655342:HRF655354 IBA655342:IBB655354 IKW655342:IKX655354 IUS655342:IUT655354 JEO655342:JEP655354 JOK655342:JOL655354 JYG655342:JYH655354 KIC655342:KID655354 KRY655342:KRZ655354 LBU655342:LBV655354 LLQ655342:LLR655354 LVM655342:LVN655354 MFI655342:MFJ655354 MPE655342:MPF655354 MZA655342:MZB655354 NIW655342:NIX655354 NSS655342:NST655354 OCO655342:OCP655354 OMK655342:OML655354 OWG655342:OWH655354 PGC655342:PGD655354 PPY655342:PPZ655354 PZU655342:PZV655354 QJQ655342:QJR655354 QTM655342:QTN655354 RDI655342:RDJ655354 RNE655342:RNF655354 RXA655342:RXB655354 SGW655342:SGX655354 SQS655342:SQT655354 TAO655342:TAP655354 TKK655342:TKL655354 TUG655342:TUH655354 UEC655342:UED655354 UNY655342:UNZ655354 UXU655342:UXV655354 VHQ655342:VHR655354 VRM655342:VRN655354 WBI655342:WBJ655354 WLE655342:WLF655354 WVA655342:WVB655354 IO720878:IP720890 SK720878:SL720890 ACG720878:ACH720890 AMC720878:AMD720890 AVY720878:AVZ720890 BFU720878:BFV720890 BPQ720878:BPR720890 BZM720878:BZN720890 CJI720878:CJJ720890 CTE720878:CTF720890 DDA720878:DDB720890 DMW720878:DMX720890 DWS720878:DWT720890 EGO720878:EGP720890 EQK720878:EQL720890 FAG720878:FAH720890 FKC720878:FKD720890 FTY720878:FTZ720890 GDU720878:GDV720890 GNQ720878:GNR720890 GXM720878:GXN720890 HHI720878:HHJ720890 HRE720878:HRF720890 IBA720878:IBB720890 IKW720878:IKX720890 IUS720878:IUT720890 JEO720878:JEP720890 JOK720878:JOL720890 JYG720878:JYH720890 KIC720878:KID720890 KRY720878:KRZ720890 LBU720878:LBV720890 LLQ720878:LLR720890 LVM720878:LVN720890 MFI720878:MFJ720890 MPE720878:MPF720890 MZA720878:MZB720890 NIW720878:NIX720890 NSS720878:NST720890 OCO720878:OCP720890 OMK720878:OML720890 OWG720878:OWH720890 PGC720878:PGD720890 PPY720878:PPZ720890 PZU720878:PZV720890 QJQ720878:QJR720890 QTM720878:QTN720890 RDI720878:RDJ720890 RNE720878:RNF720890 RXA720878:RXB720890 SGW720878:SGX720890 SQS720878:SQT720890 TAO720878:TAP720890 TKK720878:TKL720890 TUG720878:TUH720890 UEC720878:UED720890 UNY720878:UNZ720890 UXU720878:UXV720890 VHQ720878:VHR720890 VRM720878:VRN720890 WBI720878:WBJ720890 WLE720878:WLF720890 WVA720878:WVB720890 IO786414:IP786426 SK786414:SL786426 ACG786414:ACH786426 AMC786414:AMD786426 AVY786414:AVZ786426 BFU786414:BFV786426 BPQ786414:BPR786426 BZM786414:BZN786426 CJI786414:CJJ786426 CTE786414:CTF786426 DDA786414:DDB786426 DMW786414:DMX786426 DWS786414:DWT786426 EGO786414:EGP786426 EQK786414:EQL786426 FAG786414:FAH786426 FKC786414:FKD786426 FTY786414:FTZ786426 GDU786414:GDV786426 GNQ786414:GNR786426 GXM786414:GXN786426 HHI786414:HHJ786426 HRE786414:HRF786426 IBA786414:IBB786426 IKW786414:IKX786426 IUS786414:IUT786426 JEO786414:JEP786426 JOK786414:JOL786426 JYG786414:JYH786426 KIC786414:KID786426 KRY786414:KRZ786426 LBU786414:LBV786426 LLQ786414:LLR786426 LVM786414:LVN786426 MFI786414:MFJ786426 MPE786414:MPF786426 MZA786414:MZB786426 NIW786414:NIX786426 NSS786414:NST786426 OCO786414:OCP786426 OMK786414:OML786426 OWG786414:OWH786426 PGC786414:PGD786426 PPY786414:PPZ786426 PZU786414:PZV786426 QJQ786414:QJR786426 QTM786414:QTN786426 RDI786414:RDJ786426 RNE786414:RNF786426 RXA786414:RXB786426 SGW786414:SGX786426 SQS786414:SQT786426 TAO786414:TAP786426 TKK786414:TKL786426 TUG786414:TUH786426 UEC786414:UED786426 UNY786414:UNZ786426 UXU786414:UXV786426 VHQ786414:VHR786426 VRM786414:VRN786426 WBI786414:WBJ786426 WLE786414:WLF786426 WVA786414:WVB786426 IO851950:IP851962 SK851950:SL851962 ACG851950:ACH851962 AMC851950:AMD851962 AVY851950:AVZ851962 BFU851950:BFV851962 BPQ851950:BPR851962 BZM851950:BZN851962 CJI851950:CJJ851962 CTE851950:CTF851962 DDA851950:DDB851962 DMW851950:DMX851962 DWS851950:DWT851962 EGO851950:EGP851962 EQK851950:EQL851962 FAG851950:FAH851962 FKC851950:FKD851962 FTY851950:FTZ851962 GDU851950:GDV851962 GNQ851950:GNR851962 GXM851950:GXN851962 HHI851950:HHJ851962 HRE851950:HRF851962 IBA851950:IBB851962 IKW851950:IKX851962 IUS851950:IUT851962 JEO851950:JEP851962 JOK851950:JOL851962 JYG851950:JYH851962 KIC851950:KID851962 KRY851950:KRZ851962 LBU851950:LBV851962 LLQ851950:LLR851962 LVM851950:LVN851962 MFI851950:MFJ851962 MPE851950:MPF851962 MZA851950:MZB851962 NIW851950:NIX851962 NSS851950:NST851962 OCO851950:OCP851962 OMK851950:OML851962 OWG851950:OWH851962 PGC851950:PGD851962 PPY851950:PPZ851962 PZU851950:PZV851962 QJQ851950:QJR851962 QTM851950:QTN851962 RDI851950:RDJ851962 RNE851950:RNF851962 RXA851950:RXB851962 SGW851950:SGX851962 SQS851950:SQT851962 TAO851950:TAP851962 TKK851950:TKL851962 TUG851950:TUH851962 UEC851950:UED851962 UNY851950:UNZ851962 UXU851950:UXV851962 VHQ851950:VHR851962 VRM851950:VRN851962 WBI851950:WBJ851962 WLE851950:WLF851962 WVA851950:WVB851962 IO917486:IP917498 SK917486:SL917498 ACG917486:ACH917498 AMC917486:AMD917498 AVY917486:AVZ917498 BFU917486:BFV917498 BPQ917486:BPR917498 BZM917486:BZN917498 CJI917486:CJJ917498 CTE917486:CTF917498 DDA917486:DDB917498 DMW917486:DMX917498 DWS917486:DWT917498 EGO917486:EGP917498 EQK917486:EQL917498 FAG917486:FAH917498 FKC917486:FKD917498 FTY917486:FTZ917498 GDU917486:GDV917498 GNQ917486:GNR917498 GXM917486:GXN917498 HHI917486:HHJ917498 HRE917486:HRF917498 IBA917486:IBB917498 IKW917486:IKX917498 IUS917486:IUT917498 JEO917486:JEP917498 JOK917486:JOL917498 JYG917486:JYH917498 KIC917486:KID917498 KRY917486:KRZ917498 LBU917486:LBV917498 LLQ917486:LLR917498 LVM917486:LVN917498 MFI917486:MFJ917498 MPE917486:MPF917498 MZA917486:MZB917498 NIW917486:NIX917498 NSS917486:NST917498 OCO917486:OCP917498 OMK917486:OML917498 OWG917486:OWH917498 PGC917486:PGD917498 PPY917486:PPZ917498 PZU917486:PZV917498 QJQ917486:QJR917498 QTM917486:QTN917498 RDI917486:RDJ917498 RNE917486:RNF917498 RXA917486:RXB917498 SGW917486:SGX917498 SQS917486:SQT917498 TAO917486:TAP917498 TKK917486:TKL917498 TUG917486:TUH917498 UEC917486:UED917498 UNY917486:UNZ917498 UXU917486:UXV917498 VHQ917486:VHR917498 VRM917486:VRN917498 WBI917486:WBJ917498 WLE917486:WLF917498 WVA917486:WVB917498 IO983022:IP983034 SK983022:SL983034 ACG983022:ACH983034 AMC983022:AMD983034 AVY983022:AVZ983034 BFU983022:BFV983034 BPQ983022:BPR983034 BZM983022:BZN983034 CJI983022:CJJ983034 CTE983022:CTF983034 DDA983022:DDB983034 DMW983022:DMX983034 DWS983022:DWT983034 EGO983022:EGP983034 EQK983022:EQL983034 FAG983022:FAH983034 FKC983022:FKD983034 FTY983022:FTZ983034 GDU983022:GDV983034 GNQ983022:GNR983034 GXM983022:GXN983034 HHI983022:HHJ983034 HRE983022:HRF983034 IBA983022:IBB983034 IKW983022:IKX983034 IUS983022:IUT983034 JEO983022:JEP983034 JOK983022:JOL983034 JYG983022:JYH983034 KIC983022:KID983034 KRY983022:KRZ983034 LBU983022:LBV983034 LLQ983022:LLR983034 LVM983022:LVN983034 MFI983022:MFJ983034 MPE983022:MPF983034 MZA983022:MZB983034 NIW983022:NIX983034 NSS983022:NST983034 OCO983022:OCP983034 OMK983022:OML983034 OWG983022:OWH983034 PGC983022:PGD983034 PPY983022:PPZ983034 PZU983022:PZV983034 QJQ983022:QJR983034 QTM983022:QTN983034 RDI983022:RDJ983034 RNE983022:RNF983034 RXA983022:RXB983034 SGW983022:SGX983034 SQS983022:SQT983034 TAO983022:TAP983034 TKK983022:TKL983034 TUG983022:TUH983034 UEC983022:UED983034 UNY983022:UNZ983034 UXU983022:UXV983034 VHQ983022:VHR983034 VRM983022:VRN983034 WBI983022:WBJ983034 WLE983022:WLF983034 WVA983022:WVB983034 IO65540:IP65552 SK65540:SL65552 ACG65540:ACH65552 AMC65540:AMD65552 AVY65540:AVZ65552 BFU65540:BFV65552 BPQ65540:BPR65552 BZM65540:BZN65552 CJI65540:CJJ65552 CTE65540:CTF65552 DDA65540:DDB65552 DMW65540:DMX65552 DWS65540:DWT65552 EGO65540:EGP65552 EQK65540:EQL65552 FAG65540:FAH65552 FKC65540:FKD65552 FTY65540:FTZ65552 GDU65540:GDV65552 GNQ65540:GNR65552 GXM65540:GXN65552 HHI65540:HHJ65552 HRE65540:HRF65552 IBA65540:IBB65552 IKW65540:IKX65552 IUS65540:IUT65552 JEO65540:JEP65552 JOK65540:JOL65552 JYG65540:JYH65552 KIC65540:KID65552 KRY65540:KRZ65552 LBU65540:LBV65552 LLQ65540:LLR65552 LVM65540:LVN65552 MFI65540:MFJ65552 MPE65540:MPF65552 MZA65540:MZB65552 NIW65540:NIX65552 NSS65540:NST65552 OCO65540:OCP65552 OMK65540:OML65552 OWG65540:OWH65552 PGC65540:PGD65552 PPY65540:PPZ65552 PZU65540:PZV65552 QJQ65540:QJR65552 QTM65540:QTN65552 RDI65540:RDJ65552 RNE65540:RNF65552 RXA65540:RXB65552 SGW65540:SGX65552 SQS65540:SQT65552 TAO65540:TAP65552 TKK65540:TKL65552 TUG65540:TUH65552 UEC65540:UED65552 UNY65540:UNZ65552 UXU65540:UXV65552 VHQ65540:VHR65552 VRM65540:VRN65552 WBI65540:WBJ65552 WLE65540:WLF65552 WVA65540:WVB65552 IO131076:IP131088 SK131076:SL131088 ACG131076:ACH131088 AMC131076:AMD131088 AVY131076:AVZ131088 BFU131076:BFV131088 BPQ131076:BPR131088 BZM131076:BZN131088 CJI131076:CJJ131088 CTE131076:CTF131088 DDA131076:DDB131088 DMW131076:DMX131088 DWS131076:DWT131088 EGO131076:EGP131088 EQK131076:EQL131088 FAG131076:FAH131088 FKC131076:FKD131088 FTY131076:FTZ131088 GDU131076:GDV131088 GNQ131076:GNR131088 GXM131076:GXN131088 HHI131076:HHJ131088 HRE131076:HRF131088 IBA131076:IBB131088 IKW131076:IKX131088 IUS131076:IUT131088 JEO131076:JEP131088 JOK131076:JOL131088 JYG131076:JYH131088 KIC131076:KID131088 KRY131076:KRZ131088 LBU131076:LBV131088 LLQ131076:LLR131088 LVM131076:LVN131088 MFI131076:MFJ131088 MPE131076:MPF131088 MZA131076:MZB131088 NIW131076:NIX131088 NSS131076:NST131088 OCO131076:OCP131088 OMK131076:OML131088 OWG131076:OWH131088 PGC131076:PGD131088 PPY131076:PPZ131088 PZU131076:PZV131088 QJQ131076:QJR131088 QTM131076:QTN131088 RDI131076:RDJ131088 RNE131076:RNF131088 RXA131076:RXB131088 SGW131076:SGX131088 SQS131076:SQT131088 TAO131076:TAP131088 TKK131076:TKL131088 TUG131076:TUH131088 UEC131076:UED131088 UNY131076:UNZ131088 UXU131076:UXV131088 VHQ131076:VHR131088 VRM131076:VRN131088 WBI131076:WBJ131088 WLE131076:WLF131088 WVA131076:WVB131088 IO196612:IP196624 SK196612:SL196624 ACG196612:ACH196624 AMC196612:AMD196624 AVY196612:AVZ196624 BFU196612:BFV196624 BPQ196612:BPR196624 BZM196612:BZN196624 CJI196612:CJJ196624 CTE196612:CTF196624 DDA196612:DDB196624 DMW196612:DMX196624 DWS196612:DWT196624 EGO196612:EGP196624 EQK196612:EQL196624 FAG196612:FAH196624 FKC196612:FKD196624 FTY196612:FTZ196624 GDU196612:GDV196624 GNQ196612:GNR196624 GXM196612:GXN196624 HHI196612:HHJ196624 HRE196612:HRF196624 IBA196612:IBB196624 IKW196612:IKX196624 IUS196612:IUT196624 JEO196612:JEP196624 JOK196612:JOL196624 JYG196612:JYH196624 KIC196612:KID196624 KRY196612:KRZ196624 LBU196612:LBV196624 LLQ196612:LLR196624 LVM196612:LVN196624 MFI196612:MFJ196624 MPE196612:MPF196624 MZA196612:MZB196624 NIW196612:NIX196624 NSS196612:NST196624 OCO196612:OCP196624 OMK196612:OML196624 OWG196612:OWH196624 PGC196612:PGD196624 PPY196612:PPZ196624 PZU196612:PZV196624 QJQ196612:QJR196624 QTM196612:QTN196624 RDI196612:RDJ196624 RNE196612:RNF196624 RXA196612:RXB196624 SGW196612:SGX196624 SQS196612:SQT196624 TAO196612:TAP196624 TKK196612:TKL196624 TUG196612:TUH196624 UEC196612:UED196624 UNY196612:UNZ196624 UXU196612:UXV196624 VHQ196612:VHR196624 VRM196612:VRN196624 WBI196612:WBJ196624 WLE196612:WLF196624 WVA196612:WVB196624 IO262148:IP262160 SK262148:SL262160 ACG262148:ACH262160 AMC262148:AMD262160 AVY262148:AVZ262160 BFU262148:BFV262160 BPQ262148:BPR262160 BZM262148:BZN262160 CJI262148:CJJ262160 CTE262148:CTF262160 DDA262148:DDB262160 DMW262148:DMX262160 DWS262148:DWT262160 EGO262148:EGP262160 EQK262148:EQL262160 FAG262148:FAH262160 FKC262148:FKD262160 FTY262148:FTZ262160 GDU262148:GDV262160 GNQ262148:GNR262160 GXM262148:GXN262160 HHI262148:HHJ262160 HRE262148:HRF262160 IBA262148:IBB262160 IKW262148:IKX262160 IUS262148:IUT262160 JEO262148:JEP262160 JOK262148:JOL262160 JYG262148:JYH262160 KIC262148:KID262160 KRY262148:KRZ262160 LBU262148:LBV262160 LLQ262148:LLR262160 LVM262148:LVN262160 MFI262148:MFJ262160 MPE262148:MPF262160 MZA262148:MZB262160 NIW262148:NIX262160 NSS262148:NST262160 OCO262148:OCP262160 OMK262148:OML262160 OWG262148:OWH262160 PGC262148:PGD262160 PPY262148:PPZ262160 PZU262148:PZV262160 QJQ262148:QJR262160 QTM262148:QTN262160 RDI262148:RDJ262160 RNE262148:RNF262160 RXA262148:RXB262160 SGW262148:SGX262160 SQS262148:SQT262160 TAO262148:TAP262160 TKK262148:TKL262160 TUG262148:TUH262160 UEC262148:UED262160 UNY262148:UNZ262160 UXU262148:UXV262160 VHQ262148:VHR262160 VRM262148:VRN262160 WBI262148:WBJ262160 WLE262148:WLF262160 WVA262148:WVB262160 IO327684:IP327696 SK327684:SL327696 ACG327684:ACH327696 AMC327684:AMD327696 AVY327684:AVZ327696 BFU327684:BFV327696 BPQ327684:BPR327696 BZM327684:BZN327696 CJI327684:CJJ327696 CTE327684:CTF327696 DDA327684:DDB327696 DMW327684:DMX327696 DWS327684:DWT327696 EGO327684:EGP327696 EQK327684:EQL327696 FAG327684:FAH327696 FKC327684:FKD327696 FTY327684:FTZ327696 GDU327684:GDV327696 GNQ327684:GNR327696 GXM327684:GXN327696 HHI327684:HHJ327696 HRE327684:HRF327696 IBA327684:IBB327696 IKW327684:IKX327696 IUS327684:IUT327696 JEO327684:JEP327696 JOK327684:JOL327696 JYG327684:JYH327696 KIC327684:KID327696 KRY327684:KRZ327696 LBU327684:LBV327696 LLQ327684:LLR327696 LVM327684:LVN327696 MFI327684:MFJ327696 MPE327684:MPF327696 MZA327684:MZB327696 NIW327684:NIX327696 NSS327684:NST327696 OCO327684:OCP327696 OMK327684:OML327696 OWG327684:OWH327696 PGC327684:PGD327696 PPY327684:PPZ327696 PZU327684:PZV327696 QJQ327684:QJR327696 QTM327684:QTN327696 RDI327684:RDJ327696 RNE327684:RNF327696 RXA327684:RXB327696 SGW327684:SGX327696 SQS327684:SQT327696 TAO327684:TAP327696 TKK327684:TKL327696 TUG327684:TUH327696 UEC327684:UED327696 UNY327684:UNZ327696 UXU327684:UXV327696 VHQ327684:VHR327696 VRM327684:VRN327696 WBI327684:WBJ327696 WLE327684:WLF327696 WVA327684:WVB327696 IO393220:IP393232 SK393220:SL393232 ACG393220:ACH393232 AMC393220:AMD393232 AVY393220:AVZ393232 BFU393220:BFV393232 BPQ393220:BPR393232 BZM393220:BZN393232 CJI393220:CJJ393232 CTE393220:CTF393232 DDA393220:DDB393232 DMW393220:DMX393232 DWS393220:DWT393232 EGO393220:EGP393232 EQK393220:EQL393232 FAG393220:FAH393232 FKC393220:FKD393232 FTY393220:FTZ393232 GDU393220:GDV393232 GNQ393220:GNR393232 GXM393220:GXN393232 HHI393220:HHJ393232 HRE393220:HRF393232 IBA393220:IBB393232 IKW393220:IKX393232 IUS393220:IUT393232 JEO393220:JEP393232 JOK393220:JOL393232 JYG393220:JYH393232 KIC393220:KID393232 KRY393220:KRZ393232 LBU393220:LBV393232 LLQ393220:LLR393232 LVM393220:LVN393232 MFI393220:MFJ393232 MPE393220:MPF393232 MZA393220:MZB393232 NIW393220:NIX393232 NSS393220:NST393232 OCO393220:OCP393232 OMK393220:OML393232 OWG393220:OWH393232 PGC393220:PGD393232 PPY393220:PPZ393232 PZU393220:PZV393232 QJQ393220:QJR393232 QTM393220:QTN393232 RDI393220:RDJ393232 RNE393220:RNF393232 RXA393220:RXB393232 SGW393220:SGX393232 SQS393220:SQT393232 TAO393220:TAP393232 TKK393220:TKL393232 TUG393220:TUH393232 UEC393220:UED393232 UNY393220:UNZ393232 UXU393220:UXV393232 VHQ393220:VHR393232 VRM393220:VRN393232 WBI393220:WBJ393232 WLE393220:WLF393232 WVA393220:WVB393232 IO458756:IP458768 SK458756:SL458768 ACG458756:ACH458768 AMC458756:AMD458768 AVY458756:AVZ458768 BFU458756:BFV458768 BPQ458756:BPR458768 BZM458756:BZN458768 CJI458756:CJJ458768 CTE458756:CTF458768 DDA458756:DDB458768 DMW458756:DMX458768 DWS458756:DWT458768 EGO458756:EGP458768 EQK458756:EQL458768 FAG458756:FAH458768 FKC458756:FKD458768 FTY458756:FTZ458768 GDU458756:GDV458768 GNQ458756:GNR458768 GXM458756:GXN458768 HHI458756:HHJ458768 HRE458756:HRF458768 IBA458756:IBB458768 IKW458756:IKX458768 IUS458756:IUT458768 JEO458756:JEP458768 JOK458756:JOL458768 JYG458756:JYH458768 KIC458756:KID458768 KRY458756:KRZ458768 LBU458756:LBV458768 LLQ458756:LLR458768 LVM458756:LVN458768 MFI458756:MFJ458768 MPE458756:MPF458768 MZA458756:MZB458768 NIW458756:NIX458768 NSS458756:NST458768 OCO458756:OCP458768 OMK458756:OML458768 OWG458756:OWH458768 PGC458756:PGD458768 PPY458756:PPZ458768 PZU458756:PZV458768 QJQ458756:QJR458768 QTM458756:QTN458768 RDI458756:RDJ458768 RNE458756:RNF458768 RXA458756:RXB458768 SGW458756:SGX458768 SQS458756:SQT458768 TAO458756:TAP458768 TKK458756:TKL458768 TUG458756:TUH458768 UEC458756:UED458768 UNY458756:UNZ458768 UXU458756:UXV458768 VHQ458756:VHR458768 VRM458756:VRN458768 WBI458756:WBJ458768 WLE458756:WLF458768 WVA458756:WVB458768 IO524292:IP524304 SK524292:SL524304 ACG524292:ACH524304 AMC524292:AMD524304 AVY524292:AVZ524304 BFU524292:BFV524304 BPQ524292:BPR524304 BZM524292:BZN524304 CJI524292:CJJ524304 CTE524292:CTF524304 DDA524292:DDB524304 DMW524292:DMX524304 DWS524292:DWT524304 EGO524292:EGP524304 EQK524292:EQL524304 FAG524292:FAH524304 FKC524292:FKD524304 FTY524292:FTZ524304 GDU524292:GDV524304 GNQ524292:GNR524304 GXM524292:GXN524304 HHI524292:HHJ524304 HRE524292:HRF524304 IBA524292:IBB524304 IKW524292:IKX524304 IUS524292:IUT524304 JEO524292:JEP524304 JOK524292:JOL524304 JYG524292:JYH524304 KIC524292:KID524304 KRY524292:KRZ524304 LBU524292:LBV524304 LLQ524292:LLR524304 LVM524292:LVN524304 MFI524292:MFJ524304 MPE524292:MPF524304 MZA524292:MZB524304 NIW524292:NIX524304 NSS524292:NST524304 OCO524292:OCP524304 OMK524292:OML524304 OWG524292:OWH524304 PGC524292:PGD524304 PPY524292:PPZ524304 PZU524292:PZV524304 QJQ524292:QJR524304 QTM524292:QTN524304 RDI524292:RDJ524304 RNE524292:RNF524304 RXA524292:RXB524304 SGW524292:SGX524304 SQS524292:SQT524304 TAO524292:TAP524304 TKK524292:TKL524304 TUG524292:TUH524304 UEC524292:UED524304 UNY524292:UNZ524304 UXU524292:UXV524304 VHQ524292:VHR524304 VRM524292:VRN524304 WBI524292:WBJ524304 WLE524292:WLF524304 WVA524292:WVB524304 IO589828:IP589840 SK589828:SL589840 ACG589828:ACH589840 AMC589828:AMD589840 AVY589828:AVZ589840 BFU589828:BFV589840 BPQ589828:BPR589840 BZM589828:BZN589840 CJI589828:CJJ589840 CTE589828:CTF589840 DDA589828:DDB589840 DMW589828:DMX589840 DWS589828:DWT589840 EGO589828:EGP589840 EQK589828:EQL589840 FAG589828:FAH589840 FKC589828:FKD589840 FTY589828:FTZ589840 GDU589828:GDV589840 GNQ589828:GNR589840 GXM589828:GXN589840 HHI589828:HHJ589840 HRE589828:HRF589840 IBA589828:IBB589840 IKW589828:IKX589840 IUS589828:IUT589840 JEO589828:JEP589840 JOK589828:JOL589840 JYG589828:JYH589840 KIC589828:KID589840 KRY589828:KRZ589840 LBU589828:LBV589840 LLQ589828:LLR589840 LVM589828:LVN589840 MFI589828:MFJ589840 MPE589828:MPF589840 MZA589828:MZB589840 NIW589828:NIX589840 NSS589828:NST589840 OCO589828:OCP589840 OMK589828:OML589840 OWG589828:OWH589840 PGC589828:PGD589840 PPY589828:PPZ589840 PZU589828:PZV589840 QJQ589828:QJR589840 QTM589828:QTN589840 RDI589828:RDJ589840 RNE589828:RNF589840 RXA589828:RXB589840 SGW589828:SGX589840 SQS589828:SQT589840 TAO589828:TAP589840 TKK589828:TKL589840 TUG589828:TUH589840 UEC589828:UED589840 UNY589828:UNZ589840 UXU589828:UXV589840 VHQ589828:VHR589840 VRM589828:VRN589840 WBI589828:WBJ589840 WLE589828:WLF589840 WVA589828:WVB589840 IO655364:IP655376 SK655364:SL655376 ACG655364:ACH655376 AMC655364:AMD655376 AVY655364:AVZ655376 BFU655364:BFV655376 BPQ655364:BPR655376 BZM655364:BZN655376 CJI655364:CJJ655376 CTE655364:CTF655376 DDA655364:DDB655376 DMW655364:DMX655376 DWS655364:DWT655376 EGO655364:EGP655376 EQK655364:EQL655376 FAG655364:FAH655376 FKC655364:FKD655376 FTY655364:FTZ655376 GDU655364:GDV655376 GNQ655364:GNR655376 GXM655364:GXN655376 HHI655364:HHJ655376 HRE655364:HRF655376 IBA655364:IBB655376 IKW655364:IKX655376 IUS655364:IUT655376 JEO655364:JEP655376 JOK655364:JOL655376 JYG655364:JYH655376 KIC655364:KID655376 KRY655364:KRZ655376 LBU655364:LBV655376 LLQ655364:LLR655376 LVM655364:LVN655376 MFI655364:MFJ655376 MPE655364:MPF655376 MZA655364:MZB655376 NIW655364:NIX655376 NSS655364:NST655376 OCO655364:OCP655376 OMK655364:OML655376 OWG655364:OWH655376 PGC655364:PGD655376 PPY655364:PPZ655376 PZU655364:PZV655376 QJQ655364:QJR655376 QTM655364:QTN655376 RDI655364:RDJ655376 RNE655364:RNF655376 RXA655364:RXB655376 SGW655364:SGX655376 SQS655364:SQT655376 TAO655364:TAP655376 TKK655364:TKL655376 TUG655364:TUH655376 UEC655364:UED655376 UNY655364:UNZ655376 UXU655364:UXV655376 VHQ655364:VHR655376 VRM655364:VRN655376 WBI655364:WBJ655376 WLE655364:WLF655376 WVA655364:WVB655376 IO720900:IP720912 SK720900:SL720912 ACG720900:ACH720912 AMC720900:AMD720912 AVY720900:AVZ720912 BFU720900:BFV720912 BPQ720900:BPR720912 BZM720900:BZN720912 CJI720900:CJJ720912 CTE720900:CTF720912 DDA720900:DDB720912 DMW720900:DMX720912 DWS720900:DWT720912 EGO720900:EGP720912 EQK720900:EQL720912 FAG720900:FAH720912 FKC720900:FKD720912 FTY720900:FTZ720912 GDU720900:GDV720912 GNQ720900:GNR720912 GXM720900:GXN720912 HHI720900:HHJ720912 HRE720900:HRF720912 IBA720900:IBB720912 IKW720900:IKX720912 IUS720900:IUT720912 JEO720900:JEP720912 JOK720900:JOL720912 JYG720900:JYH720912 KIC720900:KID720912 KRY720900:KRZ720912 LBU720900:LBV720912 LLQ720900:LLR720912 LVM720900:LVN720912 MFI720900:MFJ720912 MPE720900:MPF720912 MZA720900:MZB720912 NIW720900:NIX720912 NSS720900:NST720912 OCO720900:OCP720912 OMK720900:OML720912 OWG720900:OWH720912 PGC720900:PGD720912 PPY720900:PPZ720912 PZU720900:PZV720912 QJQ720900:QJR720912 QTM720900:QTN720912 RDI720900:RDJ720912 RNE720900:RNF720912 RXA720900:RXB720912 SGW720900:SGX720912 SQS720900:SQT720912 TAO720900:TAP720912 TKK720900:TKL720912 TUG720900:TUH720912 UEC720900:UED720912 UNY720900:UNZ720912 UXU720900:UXV720912 VHQ720900:VHR720912 VRM720900:VRN720912 WBI720900:WBJ720912 WLE720900:WLF720912 WVA720900:WVB720912 IO786436:IP786448 SK786436:SL786448 ACG786436:ACH786448 AMC786436:AMD786448 AVY786436:AVZ786448 BFU786436:BFV786448 BPQ786436:BPR786448 BZM786436:BZN786448 CJI786436:CJJ786448 CTE786436:CTF786448 DDA786436:DDB786448 DMW786436:DMX786448 DWS786436:DWT786448 EGO786436:EGP786448 EQK786436:EQL786448 FAG786436:FAH786448 FKC786436:FKD786448 FTY786436:FTZ786448 GDU786436:GDV786448 GNQ786436:GNR786448 GXM786436:GXN786448 HHI786436:HHJ786448 HRE786436:HRF786448 IBA786436:IBB786448 IKW786436:IKX786448 IUS786436:IUT786448 JEO786436:JEP786448 JOK786436:JOL786448 JYG786436:JYH786448 KIC786436:KID786448 KRY786436:KRZ786448 LBU786436:LBV786448 LLQ786436:LLR786448 LVM786436:LVN786448 MFI786436:MFJ786448 MPE786436:MPF786448 MZA786436:MZB786448 NIW786436:NIX786448 NSS786436:NST786448 OCO786436:OCP786448 OMK786436:OML786448 OWG786436:OWH786448 PGC786436:PGD786448 PPY786436:PPZ786448 PZU786436:PZV786448 QJQ786436:QJR786448 QTM786436:QTN786448 RDI786436:RDJ786448 RNE786436:RNF786448 RXA786436:RXB786448 SGW786436:SGX786448 SQS786436:SQT786448 TAO786436:TAP786448 TKK786436:TKL786448 TUG786436:TUH786448 UEC786436:UED786448 UNY786436:UNZ786448 UXU786436:UXV786448 VHQ786436:VHR786448 VRM786436:VRN786448 WBI786436:WBJ786448 WLE786436:WLF786448 WVA786436:WVB786448 IO851972:IP851984 SK851972:SL851984 ACG851972:ACH851984 AMC851972:AMD851984 AVY851972:AVZ851984 BFU851972:BFV851984 BPQ851972:BPR851984 BZM851972:BZN851984 CJI851972:CJJ851984 CTE851972:CTF851984 DDA851972:DDB851984 DMW851972:DMX851984 DWS851972:DWT851984 EGO851972:EGP851984 EQK851972:EQL851984 FAG851972:FAH851984 FKC851972:FKD851984 FTY851972:FTZ851984 GDU851972:GDV851984 GNQ851972:GNR851984 GXM851972:GXN851984 HHI851972:HHJ851984 HRE851972:HRF851984 IBA851972:IBB851984 IKW851972:IKX851984 IUS851972:IUT851984 JEO851972:JEP851984 JOK851972:JOL851984 JYG851972:JYH851984 KIC851972:KID851984 KRY851972:KRZ851984 LBU851972:LBV851984 LLQ851972:LLR851984 LVM851972:LVN851984 MFI851972:MFJ851984 MPE851972:MPF851984 MZA851972:MZB851984 NIW851972:NIX851984 NSS851972:NST851984 OCO851972:OCP851984 OMK851972:OML851984 OWG851972:OWH851984 PGC851972:PGD851984 PPY851972:PPZ851984 PZU851972:PZV851984 QJQ851972:QJR851984 QTM851972:QTN851984 RDI851972:RDJ851984 RNE851972:RNF851984 RXA851972:RXB851984 SGW851972:SGX851984 SQS851972:SQT851984 TAO851972:TAP851984 TKK851972:TKL851984 TUG851972:TUH851984 UEC851972:UED851984 UNY851972:UNZ851984 UXU851972:UXV851984 VHQ851972:VHR851984 VRM851972:VRN851984 WBI851972:WBJ851984 WLE851972:WLF851984 WVA851972:WVB851984 IO917508:IP917520 SK917508:SL917520 ACG917508:ACH917520 AMC917508:AMD917520 AVY917508:AVZ917520 BFU917508:BFV917520 BPQ917508:BPR917520 BZM917508:BZN917520 CJI917508:CJJ917520 CTE917508:CTF917520 DDA917508:DDB917520 DMW917508:DMX917520 DWS917508:DWT917520 EGO917508:EGP917520 EQK917508:EQL917520 FAG917508:FAH917520 FKC917508:FKD917520 FTY917508:FTZ917520 GDU917508:GDV917520 GNQ917508:GNR917520 GXM917508:GXN917520 HHI917508:HHJ917520 HRE917508:HRF917520 IBA917508:IBB917520 IKW917508:IKX917520 IUS917508:IUT917520 JEO917508:JEP917520 JOK917508:JOL917520 JYG917508:JYH917520 KIC917508:KID917520 KRY917508:KRZ917520 LBU917508:LBV917520 LLQ917508:LLR917520 LVM917508:LVN917520 MFI917508:MFJ917520 MPE917508:MPF917520 MZA917508:MZB917520 NIW917508:NIX917520 NSS917508:NST917520 OCO917508:OCP917520 OMK917508:OML917520 OWG917508:OWH917520 PGC917508:PGD917520 PPY917508:PPZ917520 PZU917508:PZV917520 QJQ917508:QJR917520 QTM917508:QTN917520 RDI917508:RDJ917520 RNE917508:RNF917520 RXA917508:RXB917520 SGW917508:SGX917520 SQS917508:SQT917520 TAO917508:TAP917520 TKK917508:TKL917520 TUG917508:TUH917520 UEC917508:UED917520 UNY917508:UNZ917520 UXU917508:UXV917520 VHQ917508:VHR917520 VRM917508:VRN917520 WBI917508:WBJ917520 WLE917508:WLF917520 WVA917508:WVB917520 IO983044:IP983056 SK983044:SL983056 ACG983044:ACH983056 AMC983044:AMD983056 AVY983044:AVZ983056 BFU983044:BFV983056 BPQ983044:BPR983056 BZM983044:BZN983056 CJI983044:CJJ983056 CTE983044:CTF983056 DDA983044:DDB983056 DMW983044:DMX983056 DWS983044:DWT983056 EGO983044:EGP983056 EQK983044:EQL983056 FAG983044:FAH983056 FKC983044:FKD983056 FTY983044:FTZ983056 GDU983044:GDV983056 GNQ983044:GNR983056 GXM983044:GXN983056 HHI983044:HHJ983056 HRE983044:HRF983056 IBA983044:IBB983056 IKW983044:IKX983056 IUS983044:IUT983056 JEO983044:JEP983056 JOK983044:JOL983056 JYG983044:JYH983056 KIC983044:KID983056 KRY983044:KRZ983056 LBU983044:LBV983056 LLQ983044:LLR983056 LVM983044:LVN983056 MFI983044:MFJ983056 MPE983044:MPF983056 MZA983044:MZB983056 NIW983044:NIX983056 NSS983044:NST983056 OCO983044:OCP983056 OMK983044:OML983056 OWG983044:OWH983056 PGC983044:PGD983056 PPY983044:PPZ983056 PZU983044:PZV983056 QJQ983044:QJR983056 QTM983044:QTN983056 RDI983044:RDJ983056 RNE983044:RNF983056 RXA983044:RXB983056 SGW983044:SGX983056 SQS983044:SQT983056 TAO983044:TAP983056 TKK983044:TKL983056 TUG983044:TUH983056 UEC983044:UED983056 UNY983044:UNZ983056 UXU983044:UXV983056 VHQ983044:VHR983056 VRM983044:VRN983056 WBI983044:WBJ983056 WLE983044:WLF983056">
      <formula1>수당목록</formula1>
    </dataValidation>
    <dataValidation type="list" allowBlank="1" showInputMessage="1" showErrorMessage="1" sqref="WVE983044:WVF983056 IK7:IL19 SG7:SH19 ACC7:ACD19 ALY7:ALZ19 AVU7:AVV19 BFQ7:BFR19 BPM7:BPN19 BZI7:BZJ19 CJE7:CJF19 CTA7:CTB19 DCW7:DCX19 DMS7:DMT19 DWO7:DWP19 EGK7:EGL19 EQG7:EQH19 FAC7:FAD19 FJY7:FJZ19 FTU7:FTV19 GDQ7:GDR19 GNM7:GNN19 GXI7:GXJ19 HHE7:HHF19 HRA7:HRB19 IAW7:IAX19 IKS7:IKT19 IUO7:IUP19 JEK7:JEL19 JOG7:JOH19 JYC7:JYD19 KHY7:KHZ19 KRU7:KRV19 LBQ7:LBR19 LLM7:LLN19 LVI7:LVJ19 MFE7:MFF19 MPA7:MPB19 MYW7:MYX19 NIS7:NIT19 NSO7:NSP19 OCK7:OCL19 OMG7:OMH19 OWC7:OWD19 PFY7:PFZ19 PPU7:PPV19 PZQ7:PZR19 QJM7:QJN19 QTI7:QTJ19 RDE7:RDF19 RNA7:RNB19 RWW7:RWX19 SGS7:SGT19 SQO7:SQP19 TAK7:TAL19 TKG7:TKH19 TUC7:TUD19 UDY7:UDZ19 UNU7:UNV19 UXQ7:UXR19 VHM7:VHN19 VRI7:VRJ19 WBE7:WBF19 WLA7:WLB19 WUW7:WUX19 IK65518:IL65530 SG65518:SH65530 ACC65518:ACD65530 ALY65518:ALZ65530 AVU65518:AVV65530 BFQ65518:BFR65530 BPM65518:BPN65530 BZI65518:BZJ65530 CJE65518:CJF65530 CTA65518:CTB65530 DCW65518:DCX65530 DMS65518:DMT65530 DWO65518:DWP65530 EGK65518:EGL65530 EQG65518:EQH65530 FAC65518:FAD65530 FJY65518:FJZ65530 FTU65518:FTV65530 GDQ65518:GDR65530 GNM65518:GNN65530 GXI65518:GXJ65530 HHE65518:HHF65530 HRA65518:HRB65530 IAW65518:IAX65530 IKS65518:IKT65530 IUO65518:IUP65530 JEK65518:JEL65530 JOG65518:JOH65530 JYC65518:JYD65530 KHY65518:KHZ65530 KRU65518:KRV65530 LBQ65518:LBR65530 LLM65518:LLN65530 LVI65518:LVJ65530 MFE65518:MFF65530 MPA65518:MPB65530 MYW65518:MYX65530 NIS65518:NIT65530 NSO65518:NSP65530 OCK65518:OCL65530 OMG65518:OMH65530 OWC65518:OWD65530 PFY65518:PFZ65530 PPU65518:PPV65530 PZQ65518:PZR65530 QJM65518:QJN65530 QTI65518:QTJ65530 RDE65518:RDF65530 RNA65518:RNB65530 RWW65518:RWX65530 SGS65518:SGT65530 SQO65518:SQP65530 TAK65518:TAL65530 TKG65518:TKH65530 TUC65518:TUD65530 UDY65518:UDZ65530 UNU65518:UNV65530 UXQ65518:UXR65530 VHM65518:VHN65530 VRI65518:VRJ65530 WBE65518:WBF65530 WLA65518:WLB65530 WUW65518:WUX65530 IK131054:IL131066 SG131054:SH131066 ACC131054:ACD131066 ALY131054:ALZ131066 AVU131054:AVV131066 BFQ131054:BFR131066 BPM131054:BPN131066 BZI131054:BZJ131066 CJE131054:CJF131066 CTA131054:CTB131066 DCW131054:DCX131066 DMS131054:DMT131066 DWO131054:DWP131066 EGK131054:EGL131066 EQG131054:EQH131066 FAC131054:FAD131066 FJY131054:FJZ131066 FTU131054:FTV131066 GDQ131054:GDR131066 GNM131054:GNN131066 GXI131054:GXJ131066 HHE131054:HHF131066 HRA131054:HRB131066 IAW131054:IAX131066 IKS131054:IKT131066 IUO131054:IUP131066 JEK131054:JEL131066 JOG131054:JOH131066 JYC131054:JYD131066 KHY131054:KHZ131066 KRU131054:KRV131066 LBQ131054:LBR131066 LLM131054:LLN131066 LVI131054:LVJ131066 MFE131054:MFF131066 MPA131054:MPB131066 MYW131054:MYX131066 NIS131054:NIT131066 NSO131054:NSP131066 OCK131054:OCL131066 OMG131054:OMH131066 OWC131054:OWD131066 PFY131054:PFZ131066 PPU131054:PPV131066 PZQ131054:PZR131066 QJM131054:QJN131066 QTI131054:QTJ131066 RDE131054:RDF131066 RNA131054:RNB131066 RWW131054:RWX131066 SGS131054:SGT131066 SQO131054:SQP131066 TAK131054:TAL131066 TKG131054:TKH131066 TUC131054:TUD131066 UDY131054:UDZ131066 UNU131054:UNV131066 UXQ131054:UXR131066 VHM131054:VHN131066 VRI131054:VRJ131066 WBE131054:WBF131066 WLA131054:WLB131066 WUW131054:WUX131066 IK196590:IL196602 SG196590:SH196602 ACC196590:ACD196602 ALY196590:ALZ196602 AVU196590:AVV196602 BFQ196590:BFR196602 BPM196590:BPN196602 BZI196590:BZJ196602 CJE196590:CJF196602 CTA196590:CTB196602 DCW196590:DCX196602 DMS196590:DMT196602 DWO196590:DWP196602 EGK196590:EGL196602 EQG196590:EQH196602 FAC196590:FAD196602 FJY196590:FJZ196602 FTU196590:FTV196602 GDQ196590:GDR196602 GNM196590:GNN196602 GXI196590:GXJ196602 HHE196590:HHF196602 HRA196590:HRB196602 IAW196590:IAX196602 IKS196590:IKT196602 IUO196590:IUP196602 JEK196590:JEL196602 JOG196590:JOH196602 JYC196590:JYD196602 KHY196590:KHZ196602 KRU196590:KRV196602 LBQ196590:LBR196602 LLM196590:LLN196602 LVI196590:LVJ196602 MFE196590:MFF196602 MPA196590:MPB196602 MYW196590:MYX196602 NIS196590:NIT196602 NSO196590:NSP196602 OCK196590:OCL196602 OMG196590:OMH196602 OWC196590:OWD196602 PFY196590:PFZ196602 PPU196590:PPV196602 PZQ196590:PZR196602 QJM196590:QJN196602 QTI196590:QTJ196602 RDE196590:RDF196602 RNA196590:RNB196602 RWW196590:RWX196602 SGS196590:SGT196602 SQO196590:SQP196602 TAK196590:TAL196602 TKG196590:TKH196602 TUC196590:TUD196602 UDY196590:UDZ196602 UNU196590:UNV196602 UXQ196590:UXR196602 VHM196590:VHN196602 VRI196590:VRJ196602 WBE196590:WBF196602 WLA196590:WLB196602 WUW196590:WUX196602 IK262126:IL262138 SG262126:SH262138 ACC262126:ACD262138 ALY262126:ALZ262138 AVU262126:AVV262138 BFQ262126:BFR262138 BPM262126:BPN262138 BZI262126:BZJ262138 CJE262126:CJF262138 CTA262126:CTB262138 DCW262126:DCX262138 DMS262126:DMT262138 DWO262126:DWP262138 EGK262126:EGL262138 EQG262126:EQH262138 FAC262126:FAD262138 FJY262126:FJZ262138 FTU262126:FTV262138 GDQ262126:GDR262138 GNM262126:GNN262138 GXI262126:GXJ262138 HHE262126:HHF262138 HRA262126:HRB262138 IAW262126:IAX262138 IKS262126:IKT262138 IUO262126:IUP262138 JEK262126:JEL262138 JOG262126:JOH262138 JYC262126:JYD262138 KHY262126:KHZ262138 KRU262126:KRV262138 LBQ262126:LBR262138 LLM262126:LLN262138 LVI262126:LVJ262138 MFE262126:MFF262138 MPA262126:MPB262138 MYW262126:MYX262138 NIS262126:NIT262138 NSO262126:NSP262138 OCK262126:OCL262138 OMG262126:OMH262138 OWC262126:OWD262138 PFY262126:PFZ262138 PPU262126:PPV262138 PZQ262126:PZR262138 QJM262126:QJN262138 QTI262126:QTJ262138 RDE262126:RDF262138 RNA262126:RNB262138 RWW262126:RWX262138 SGS262126:SGT262138 SQO262126:SQP262138 TAK262126:TAL262138 TKG262126:TKH262138 TUC262126:TUD262138 UDY262126:UDZ262138 UNU262126:UNV262138 UXQ262126:UXR262138 VHM262126:VHN262138 VRI262126:VRJ262138 WBE262126:WBF262138 WLA262126:WLB262138 WUW262126:WUX262138 IK327662:IL327674 SG327662:SH327674 ACC327662:ACD327674 ALY327662:ALZ327674 AVU327662:AVV327674 BFQ327662:BFR327674 BPM327662:BPN327674 BZI327662:BZJ327674 CJE327662:CJF327674 CTA327662:CTB327674 DCW327662:DCX327674 DMS327662:DMT327674 DWO327662:DWP327674 EGK327662:EGL327674 EQG327662:EQH327674 FAC327662:FAD327674 FJY327662:FJZ327674 FTU327662:FTV327674 GDQ327662:GDR327674 GNM327662:GNN327674 GXI327662:GXJ327674 HHE327662:HHF327674 HRA327662:HRB327674 IAW327662:IAX327674 IKS327662:IKT327674 IUO327662:IUP327674 JEK327662:JEL327674 JOG327662:JOH327674 JYC327662:JYD327674 KHY327662:KHZ327674 KRU327662:KRV327674 LBQ327662:LBR327674 LLM327662:LLN327674 LVI327662:LVJ327674 MFE327662:MFF327674 MPA327662:MPB327674 MYW327662:MYX327674 NIS327662:NIT327674 NSO327662:NSP327674 OCK327662:OCL327674 OMG327662:OMH327674 OWC327662:OWD327674 PFY327662:PFZ327674 PPU327662:PPV327674 PZQ327662:PZR327674 QJM327662:QJN327674 QTI327662:QTJ327674 RDE327662:RDF327674 RNA327662:RNB327674 RWW327662:RWX327674 SGS327662:SGT327674 SQO327662:SQP327674 TAK327662:TAL327674 TKG327662:TKH327674 TUC327662:TUD327674 UDY327662:UDZ327674 UNU327662:UNV327674 UXQ327662:UXR327674 VHM327662:VHN327674 VRI327662:VRJ327674 WBE327662:WBF327674 WLA327662:WLB327674 WUW327662:WUX327674 IK393198:IL393210 SG393198:SH393210 ACC393198:ACD393210 ALY393198:ALZ393210 AVU393198:AVV393210 BFQ393198:BFR393210 BPM393198:BPN393210 BZI393198:BZJ393210 CJE393198:CJF393210 CTA393198:CTB393210 DCW393198:DCX393210 DMS393198:DMT393210 DWO393198:DWP393210 EGK393198:EGL393210 EQG393198:EQH393210 FAC393198:FAD393210 FJY393198:FJZ393210 FTU393198:FTV393210 GDQ393198:GDR393210 GNM393198:GNN393210 GXI393198:GXJ393210 HHE393198:HHF393210 HRA393198:HRB393210 IAW393198:IAX393210 IKS393198:IKT393210 IUO393198:IUP393210 JEK393198:JEL393210 JOG393198:JOH393210 JYC393198:JYD393210 KHY393198:KHZ393210 KRU393198:KRV393210 LBQ393198:LBR393210 LLM393198:LLN393210 LVI393198:LVJ393210 MFE393198:MFF393210 MPA393198:MPB393210 MYW393198:MYX393210 NIS393198:NIT393210 NSO393198:NSP393210 OCK393198:OCL393210 OMG393198:OMH393210 OWC393198:OWD393210 PFY393198:PFZ393210 PPU393198:PPV393210 PZQ393198:PZR393210 QJM393198:QJN393210 QTI393198:QTJ393210 RDE393198:RDF393210 RNA393198:RNB393210 RWW393198:RWX393210 SGS393198:SGT393210 SQO393198:SQP393210 TAK393198:TAL393210 TKG393198:TKH393210 TUC393198:TUD393210 UDY393198:UDZ393210 UNU393198:UNV393210 UXQ393198:UXR393210 VHM393198:VHN393210 VRI393198:VRJ393210 WBE393198:WBF393210 WLA393198:WLB393210 WUW393198:WUX393210 IK458734:IL458746 SG458734:SH458746 ACC458734:ACD458746 ALY458734:ALZ458746 AVU458734:AVV458746 BFQ458734:BFR458746 BPM458734:BPN458746 BZI458734:BZJ458746 CJE458734:CJF458746 CTA458734:CTB458746 DCW458734:DCX458746 DMS458734:DMT458746 DWO458734:DWP458746 EGK458734:EGL458746 EQG458734:EQH458746 FAC458734:FAD458746 FJY458734:FJZ458746 FTU458734:FTV458746 GDQ458734:GDR458746 GNM458734:GNN458746 GXI458734:GXJ458746 HHE458734:HHF458746 HRA458734:HRB458746 IAW458734:IAX458746 IKS458734:IKT458746 IUO458734:IUP458746 JEK458734:JEL458746 JOG458734:JOH458746 JYC458734:JYD458746 KHY458734:KHZ458746 KRU458734:KRV458746 LBQ458734:LBR458746 LLM458734:LLN458746 LVI458734:LVJ458746 MFE458734:MFF458746 MPA458734:MPB458746 MYW458734:MYX458746 NIS458734:NIT458746 NSO458734:NSP458746 OCK458734:OCL458746 OMG458734:OMH458746 OWC458734:OWD458746 PFY458734:PFZ458746 PPU458734:PPV458746 PZQ458734:PZR458746 QJM458734:QJN458746 QTI458734:QTJ458746 RDE458734:RDF458746 RNA458734:RNB458746 RWW458734:RWX458746 SGS458734:SGT458746 SQO458734:SQP458746 TAK458734:TAL458746 TKG458734:TKH458746 TUC458734:TUD458746 UDY458734:UDZ458746 UNU458734:UNV458746 UXQ458734:UXR458746 VHM458734:VHN458746 VRI458734:VRJ458746 WBE458734:WBF458746 WLA458734:WLB458746 WUW458734:WUX458746 IK524270:IL524282 SG524270:SH524282 ACC524270:ACD524282 ALY524270:ALZ524282 AVU524270:AVV524282 BFQ524270:BFR524282 BPM524270:BPN524282 BZI524270:BZJ524282 CJE524270:CJF524282 CTA524270:CTB524282 DCW524270:DCX524282 DMS524270:DMT524282 DWO524270:DWP524282 EGK524270:EGL524282 EQG524270:EQH524282 FAC524270:FAD524282 FJY524270:FJZ524282 FTU524270:FTV524282 GDQ524270:GDR524282 GNM524270:GNN524282 GXI524270:GXJ524282 HHE524270:HHF524282 HRA524270:HRB524282 IAW524270:IAX524282 IKS524270:IKT524282 IUO524270:IUP524282 JEK524270:JEL524282 JOG524270:JOH524282 JYC524270:JYD524282 KHY524270:KHZ524282 KRU524270:KRV524282 LBQ524270:LBR524282 LLM524270:LLN524282 LVI524270:LVJ524282 MFE524270:MFF524282 MPA524270:MPB524282 MYW524270:MYX524282 NIS524270:NIT524282 NSO524270:NSP524282 OCK524270:OCL524282 OMG524270:OMH524282 OWC524270:OWD524282 PFY524270:PFZ524282 PPU524270:PPV524282 PZQ524270:PZR524282 QJM524270:QJN524282 QTI524270:QTJ524282 RDE524270:RDF524282 RNA524270:RNB524282 RWW524270:RWX524282 SGS524270:SGT524282 SQO524270:SQP524282 TAK524270:TAL524282 TKG524270:TKH524282 TUC524270:TUD524282 UDY524270:UDZ524282 UNU524270:UNV524282 UXQ524270:UXR524282 VHM524270:VHN524282 VRI524270:VRJ524282 WBE524270:WBF524282 WLA524270:WLB524282 WUW524270:WUX524282 IK589806:IL589818 SG589806:SH589818 ACC589806:ACD589818 ALY589806:ALZ589818 AVU589806:AVV589818 BFQ589806:BFR589818 BPM589806:BPN589818 BZI589806:BZJ589818 CJE589806:CJF589818 CTA589806:CTB589818 DCW589806:DCX589818 DMS589806:DMT589818 DWO589806:DWP589818 EGK589806:EGL589818 EQG589806:EQH589818 FAC589806:FAD589818 FJY589806:FJZ589818 FTU589806:FTV589818 GDQ589806:GDR589818 GNM589806:GNN589818 GXI589806:GXJ589818 HHE589806:HHF589818 HRA589806:HRB589818 IAW589806:IAX589818 IKS589806:IKT589818 IUO589806:IUP589818 JEK589806:JEL589818 JOG589806:JOH589818 JYC589806:JYD589818 KHY589806:KHZ589818 KRU589806:KRV589818 LBQ589806:LBR589818 LLM589806:LLN589818 LVI589806:LVJ589818 MFE589806:MFF589818 MPA589806:MPB589818 MYW589806:MYX589818 NIS589806:NIT589818 NSO589806:NSP589818 OCK589806:OCL589818 OMG589806:OMH589818 OWC589806:OWD589818 PFY589806:PFZ589818 PPU589806:PPV589818 PZQ589806:PZR589818 QJM589806:QJN589818 QTI589806:QTJ589818 RDE589806:RDF589818 RNA589806:RNB589818 RWW589806:RWX589818 SGS589806:SGT589818 SQO589806:SQP589818 TAK589806:TAL589818 TKG589806:TKH589818 TUC589806:TUD589818 UDY589806:UDZ589818 UNU589806:UNV589818 UXQ589806:UXR589818 VHM589806:VHN589818 VRI589806:VRJ589818 WBE589806:WBF589818 WLA589806:WLB589818 WUW589806:WUX589818 IK655342:IL655354 SG655342:SH655354 ACC655342:ACD655354 ALY655342:ALZ655354 AVU655342:AVV655354 BFQ655342:BFR655354 BPM655342:BPN655354 BZI655342:BZJ655354 CJE655342:CJF655354 CTA655342:CTB655354 DCW655342:DCX655354 DMS655342:DMT655354 DWO655342:DWP655354 EGK655342:EGL655354 EQG655342:EQH655354 FAC655342:FAD655354 FJY655342:FJZ655354 FTU655342:FTV655354 GDQ655342:GDR655354 GNM655342:GNN655354 GXI655342:GXJ655354 HHE655342:HHF655354 HRA655342:HRB655354 IAW655342:IAX655354 IKS655342:IKT655354 IUO655342:IUP655354 JEK655342:JEL655354 JOG655342:JOH655354 JYC655342:JYD655354 KHY655342:KHZ655354 KRU655342:KRV655354 LBQ655342:LBR655354 LLM655342:LLN655354 LVI655342:LVJ655354 MFE655342:MFF655354 MPA655342:MPB655354 MYW655342:MYX655354 NIS655342:NIT655354 NSO655342:NSP655354 OCK655342:OCL655354 OMG655342:OMH655354 OWC655342:OWD655354 PFY655342:PFZ655354 PPU655342:PPV655354 PZQ655342:PZR655354 QJM655342:QJN655354 QTI655342:QTJ655354 RDE655342:RDF655354 RNA655342:RNB655354 RWW655342:RWX655354 SGS655342:SGT655354 SQO655342:SQP655354 TAK655342:TAL655354 TKG655342:TKH655354 TUC655342:TUD655354 UDY655342:UDZ655354 UNU655342:UNV655354 UXQ655342:UXR655354 VHM655342:VHN655354 VRI655342:VRJ655354 WBE655342:WBF655354 WLA655342:WLB655354 WUW655342:WUX655354 IK720878:IL720890 SG720878:SH720890 ACC720878:ACD720890 ALY720878:ALZ720890 AVU720878:AVV720890 BFQ720878:BFR720890 BPM720878:BPN720890 BZI720878:BZJ720890 CJE720878:CJF720890 CTA720878:CTB720890 DCW720878:DCX720890 DMS720878:DMT720890 DWO720878:DWP720890 EGK720878:EGL720890 EQG720878:EQH720890 FAC720878:FAD720890 FJY720878:FJZ720890 FTU720878:FTV720890 GDQ720878:GDR720890 GNM720878:GNN720890 GXI720878:GXJ720890 HHE720878:HHF720890 HRA720878:HRB720890 IAW720878:IAX720890 IKS720878:IKT720890 IUO720878:IUP720890 JEK720878:JEL720890 JOG720878:JOH720890 JYC720878:JYD720890 KHY720878:KHZ720890 KRU720878:KRV720890 LBQ720878:LBR720890 LLM720878:LLN720890 LVI720878:LVJ720890 MFE720878:MFF720890 MPA720878:MPB720890 MYW720878:MYX720890 NIS720878:NIT720890 NSO720878:NSP720890 OCK720878:OCL720890 OMG720878:OMH720890 OWC720878:OWD720890 PFY720878:PFZ720890 PPU720878:PPV720890 PZQ720878:PZR720890 QJM720878:QJN720890 QTI720878:QTJ720890 RDE720878:RDF720890 RNA720878:RNB720890 RWW720878:RWX720890 SGS720878:SGT720890 SQO720878:SQP720890 TAK720878:TAL720890 TKG720878:TKH720890 TUC720878:TUD720890 UDY720878:UDZ720890 UNU720878:UNV720890 UXQ720878:UXR720890 VHM720878:VHN720890 VRI720878:VRJ720890 WBE720878:WBF720890 WLA720878:WLB720890 WUW720878:WUX720890 IK786414:IL786426 SG786414:SH786426 ACC786414:ACD786426 ALY786414:ALZ786426 AVU786414:AVV786426 BFQ786414:BFR786426 BPM786414:BPN786426 BZI786414:BZJ786426 CJE786414:CJF786426 CTA786414:CTB786426 DCW786414:DCX786426 DMS786414:DMT786426 DWO786414:DWP786426 EGK786414:EGL786426 EQG786414:EQH786426 FAC786414:FAD786426 FJY786414:FJZ786426 FTU786414:FTV786426 GDQ786414:GDR786426 GNM786414:GNN786426 GXI786414:GXJ786426 HHE786414:HHF786426 HRA786414:HRB786426 IAW786414:IAX786426 IKS786414:IKT786426 IUO786414:IUP786426 JEK786414:JEL786426 JOG786414:JOH786426 JYC786414:JYD786426 KHY786414:KHZ786426 KRU786414:KRV786426 LBQ786414:LBR786426 LLM786414:LLN786426 LVI786414:LVJ786426 MFE786414:MFF786426 MPA786414:MPB786426 MYW786414:MYX786426 NIS786414:NIT786426 NSO786414:NSP786426 OCK786414:OCL786426 OMG786414:OMH786426 OWC786414:OWD786426 PFY786414:PFZ786426 PPU786414:PPV786426 PZQ786414:PZR786426 QJM786414:QJN786426 QTI786414:QTJ786426 RDE786414:RDF786426 RNA786414:RNB786426 RWW786414:RWX786426 SGS786414:SGT786426 SQO786414:SQP786426 TAK786414:TAL786426 TKG786414:TKH786426 TUC786414:TUD786426 UDY786414:UDZ786426 UNU786414:UNV786426 UXQ786414:UXR786426 VHM786414:VHN786426 VRI786414:VRJ786426 WBE786414:WBF786426 WLA786414:WLB786426 WUW786414:WUX786426 IK851950:IL851962 SG851950:SH851962 ACC851950:ACD851962 ALY851950:ALZ851962 AVU851950:AVV851962 BFQ851950:BFR851962 BPM851950:BPN851962 BZI851950:BZJ851962 CJE851950:CJF851962 CTA851950:CTB851962 DCW851950:DCX851962 DMS851950:DMT851962 DWO851950:DWP851962 EGK851950:EGL851962 EQG851950:EQH851962 FAC851950:FAD851962 FJY851950:FJZ851962 FTU851950:FTV851962 GDQ851950:GDR851962 GNM851950:GNN851962 GXI851950:GXJ851962 HHE851950:HHF851962 HRA851950:HRB851962 IAW851950:IAX851962 IKS851950:IKT851962 IUO851950:IUP851962 JEK851950:JEL851962 JOG851950:JOH851962 JYC851950:JYD851962 KHY851950:KHZ851962 KRU851950:KRV851962 LBQ851950:LBR851962 LLM851950:LLN851962 LVI851950:LVJ851962 MFE851950:MFF851962 MPA851950:MPB851962 MYW851950:MYX851962 NIS851950:NIT851962 NSO851950:NSP851962 OCK851950:OCL851962 OMG851950:OMH851962 OWC851950:OWD851962 PFY851950:PFZ851962 PPU851950:PPV851962 PZQ851950:PZR851962 QJM851950:QJN851962 QTI851950:QTJ851962 RDE851950:RDF851962 RNA851950:RNB851962 RWW851950:RWX851962 SGS851950:SGT851962 SQO851950:SQP851962 TAK851950:TAL851962 TKG851950:TKH851962 TUC851950:TUD851962 UDY851950:UDZ851962 UNU851950:UNV851962 UXQ851950:UXR851962 VHM851950:VHN851962 VRI851950:VRJ851962 WBE851950:WBF851962 WLA851950:WLB851962 WUW851950:WUX851962 IK917486:IL917498 SG917486:SH917498 ACC917486:ACD917498 ALY917486:ALZ917498 AVU917486:AVV917498 BFQ917486:BFR917498 BPM917486:BPN917498 BZI917486:BZJ917498 CJE917486:CJF917498 CTA917486:CTB917498 DCW917486:DCX917498 DMS917486:DMT917498 DWO917486:DWP917498 EGK917486:EGL917498 EQG917486:EQH917498 FAC917486:FAD917498 FJY917486:FJZ917498 FTU917486:FTV917498 GDQ917486:GDR917498 GNM917486:GNN917498 GXI917486:GXJ917498 HHE917486:HHF917498 HRA917486:HRB917498 IAW917486:IAX917498 IKS917486:IKT917498 IUO917486:IUP917498 JEK917486:JEL917498 JOG917486:JOH917498 JYC917486:JYD917498 KHY917486:KHZ917498 KRU917486:KRV917498 LBQ917486:LBR917498 LLM917486:LLN917498 LVI917486:LVJ917498 MFE917486:MFF917498 MPA917486:MPB917498 MYW917486:MYX917498 NIS917486:NIT917498 NSO917486:NSP917498 OCK917486:OCL917498 OMG917486:OMH917498 OWC917486:OWD917498 PFY917486:PFZ917498 PPU917486:PPV917498 PZQ917486:PZR917498 QJM917486:QJN917498 QTI917486:QTJ917498 RDE917486:RDF917498 RNA917486:RNB917498 RWW917486:RWX917498 SGS917486:SGT917498 SQO917486:SQP917498 TAK917486:TAL917498 TKG917486:TKH917498 TUC917486:TUD917498 UDY917486:UDZ917498 UNU917486:UNV917498 UXQ917486:UXR917498 VHM917486:VHN917498 VRI917486:VRJ917498 WBE917486:WBF917498 WLA917486:WLB917498 WUW917486:WUX917498 IK983022:IL983034 SG983022:SH983034 ACC983022:ACD983034 ALY983022:ALZ983034 AVU983022:AVV983034 BFQ983022:BFR983034 BPM983022:BPN983034 BZI983022:BZJ983034 CJE983022:CJF983034 CTA983022:CTB983034 DCW983022:DCX983034 DMS983022:DMT983034 DWO983022:DWP983034 EGK983022:EGL983034 EQG983022:EQH983034 FAC983022:FAD983034 FJY983022:FJZ983034 FTU983022:FTV983034 GDQ983022:GDR983034 GNM983022:GNN983034 GXI983022:GXJ983034 HHE983022:HHF983034 HRA983022:HRB983034 IAW983022:IAX983034 IKS983022:IKT983034 IUO983022:IUP983034 JEK983022:JEL983034 JOG983022:JOH983034 JYC983022:JYD983034 KHY983022:KHZ983034 KRU983022:KRV983034 LBQ983022:LBR983034 LLM983022:LLN983034 LVI983022:LVJ983034 MFE983022:MFF983034 MPA983022:MPB983034 MYW983022:MYX983034 NIS983022:NIT983034 NSO983022:NSP983034 OCK983022:OCL983034 OMG983022:OMH983034 OWC983022:OWD983034 PFY983022:PFZ983034 PPU983022:PPV983034 PZQ983022:PZR983034 QJM983022:QJN983034 QTI983022:QTJ983034 RDE983022:RDF983034 RNA983022:RNB983034 RWW983022:RWX983034 SGS983022:SGT983034 SQO983022:SQP983034 TAK983022:TAL983034 TKG983022:TKH983034 TUC983022:TUD983034 UDY983022:UDZ983034 UNU983022:UNV983034 UXQ983022:UXR983034 VHM983022:VHN983034 VRI983022:VRJ983034 WBE983022:WBF983034 WLA983022:WLB983034 WUW983022:WUX983034 IK65540:IL65552 SG65540:SH65552 ACC65540:ACD65552 ALY65540:ALZ65552 AVU65540:AVV65552 BFQ65540:BFR65552 BPM65540:BPN65552 BZI65540:BZJ65552 CJE65540:CJF65552 CTA65540:CTB65552 DCW65540:DCX65552 DMS65540:DMT65552 DWO65540:DWP65552 EGK65540:EGL65552 EQG65540:EQH65552 FAC65540:FAD65552 FJY65540:FJZ65552 FTU65540:FTV65552 GDQ65540:GDR65552 GNM65540:GNN65552 GXI65540:GXJ65552 HHE65540:HHF65552 HRA65540:HRB65552 IAW65540:IAX65552 IKS65540:IKT65552 IUO65540:IUP65552 JEK65540:JEL65552 JOG65540:JOH65552 JYC65540:JYD65552 KHY65540:KHZ65552 KRU65540:KRV65552 LBQ65540:LBR65552 LLM65540:LLN65552 LVI65540:LVJ65552 MFE65540:MFF65552 MPA65540:MPB65552 MYW65540:MYX65552 NIS65540:NIT65552 NSO65540:NSP65552 OCK65540:OCL65552 OMG65540:OMH65552 OWC65540:OWD65552 PFY65540:PFZ65552 PPU65540:PPV65552 PZQ65540:PZR65552 QJM65540:QJN65552 QTI65540:QTJ65552 RDE65540:RDF65552 RNA65540:RNB65552 RWW65540:RWX65552 SGS65540:SGT65552 SQO65540:SQP65552 TAK65540:TAL65552 TKG65540:TKH65552 TUC65540:TUD65552 UDY65540:UDZ65552 UNU65540:UNV65552 UXQ65540:UXR65552 VHM65540:VHN65552 VRI65540:VRJ65552 WBE65540:WBF65552 WLA65540:WLB65552 WUW65540:WUX65552 IK131076:IL131088 SG131076:SH131088 ACC131076:ACD131088 ALY131076:ALZ131088 AVU131076:AVV131088 BFQ131076:BFR131088 BPM131076:BPN131088 BZI131076:BZJ131088 CJE131076:CJF131088 CTA131076:CTB131088 DCW131076:DCX131088 DMS131076:DMT131088 DWO131076:DWP131088 EGK131076:EGL131088 EQG131076:EQH131088 FAC131076:FAD131088 FJY131076:FJZ131088 FTU131076:FTV131088 GDQ131076:GDR131088 GNM131076:GNN131088 GXI131076:GXJ131088 HHE131076:HHF131088 HRA131076:HRB131088 IAW131076:IAX131088 IKS131076:IKT131088 IUO131076:IUP131088 JEK131076:JEL131088 JOG131076:JOH131088 JYC131076:JYD131088 KHY131076:KHZ131088 KRU131076:KRV131088 LBQ131076:LBR131088 LLM131076:LLN131088 LVI131076:LVJ131088 MFE131076:MFF131088 MPA131076:MPB131088 MYW131076:MYX131088 NIS131076:NIT131088 NSO131076:NSP131088 OCK131076:OCL131088 OMG131076:OMH131088 OWC131076:OWD131088 PFY131076:PFZ131088 PPU131076:PPV131088 PZQ131076:PZR131088 QJM131076:QJN131088 QTI131076:QTJ131088 RDE131076:RDF131088 RNA131076:RNB131088 RWW131076:RWX131088 SGS131076:SGT131088 SQO131076:SQP131088 TAK131076:TAL131088 TKG131076:TKH131088 TUC131076:TUD131088 UDY131076:UDZ131088 UNU131076:UNV131088 UXQ131076:UXR131088 VHM131076:VHN131088 VRI131076:VRJ131088 WBE131076:WBF131088 WLA131076:WLB131088 WUW131076:WUX131088 IK196612:IL196624 SG196612:SH196624 ACC196612:ACD196624 ALY196612:ALZ196624 AVU196612:AVV196624 BFQ196612:BFR196624 BPM196612:BPN196624 BZI196612:BZJ196624 CJE196612:CJF196624 CTA196612:CTB196624 DCW196612:DCX196624 DMS196612:DMT196624 DWO196612:DWP196624 EGK196612:EGL196624 EQG196612:EQH196624 FAC196612:FAD196624 FJY196612:FJZ196624 FTU196612:FTV196624 GDQ196612:GDR196624 GNM196612:GNN196624 GXI196612:GXJ196624 HHE196612:HHF196624 HRA196612:HRB196624 IAW196612:IAX196624 IKS196612:IKT196624 IUO196612:IUP196624 JEK196612:JEL196624 JOG196612:JOH196624 JYC196612:JYD196624 KHY196612:KHZ196624 KRU196612:KRV196624 LBQ196612:LBR196624 LLM196612:LLN196624 LVI196612:LVJ196624 MFE196612:MFF196624 MPA196612:MPB196624 MYW196612:MYX196624 NIS196612:NIT196624 NSO196612:NSP196624 OCK196612:OCL196624 OMG196612:OMH196624 OWC196612:OWD196624 PFY196612:PFZ196624 PPU196612:PPV196624 PZQ196612:PZR196624 QJM196612:QJN196624 QTI196612:QTJ196624 RDE196612:RDF196624 RNA196612:RNB196624 RWW196612:RWX196624 SGS196612:SGT196624 SQO196612:SQP196624 TAK196612:TAL196624 TKG196612:TKH196624 TUC196612:TUD196624 UDY196612:UDZ196624 UNU196612:UNV196624 UXQ196612:UXR196624 VHM196612:VHN196624 VRI196612:VRJ196624 WBE196612:WBF196624 WLA196612:WLB196624 WUW196612:WUX196624 IK262148:IL262160 SG262148:SH262160 ACC262148:ACD262160 ALY262148:ALZ262160 AVU262148:AVV262160 BFQ262148:BFR262160 BPM262148:BPN262160 BZI262148:BZJ262160 CJE262148:CJF262160 CTA262148:CTB262160 DCW262148:DCX262160 DMS262148:DMT262160 DWO262148:DWP262160 EGK262148:EGL262160 EQG262148:EQH262160 FAC262148:FAD262160 FJY262148:FJZ262160 FTU262148:FTV262160 GDQ262148:GDR262160 GNM262148:GNN262160 GXI262148:GXJ262160 HHE262148:HHF262160 HRA262148:HRB262160 IAW262148:IAX262160 IKS262148:IKT262160 IUO262148:IUP262160 JEK262148:JEL262160 JOG262148:JOH262160 JYC262148:JYD262160 KHY262148:KHZ262160 KRU262148:KRV262160 LBQ262148:LBR262160 LLM262148:LLN262160 LVI262148:LVJ262160 MFE262148:MFF262160 MPA262148:MPB262160 MYW262148:MYX262160 NIS262148:NIT262160 NSO262148:NSP262160 OCK262148:OCL262160 OMG262148:OMH262160 OWC262148:OWD262160 PFY262148:PFZ262160 PPU262148:PPV262160 PZQ262148:PZR262160 QJM262148:QJN262160 QTI262148:QTJ262160 RDE262148:RDF262160 RNA262148:RNB262160 RWW262148:RWX262160 SGS262148:SGT262160 SQO262148:SQP262160 TAK262148:TAL262160 TKG262148:TKH262160 TUC262148:TUD262160 UDY262148:UDZ262160 UNU262148:UNV262160 UXQ262148:UXR262160 VHM262148:VHN262160 VRI262148:VRJ262160 WBE262148:WBF262160 WLA262148:WLB262160 WUW262148:WUX262160 IK327684:IL327696 SG327684:SH327696 ACC327684:ACD327696 ALY327684:ALZ327696 AVU327684:AVV327696 BFQ327684:BFR327696 BPM327684:BPN327696 BZI327684:BZJ327696 CJE327684:CJF327696 CTA327684:CTB327696 DCW327684:DCX327696 DMS327684:DMT327696 DWO327684:DWP327696 EGK327684:EGL327696 EQG327684:EQH327696 FAC327684:FAD327696 FJY327684:FJZ327696 FTU327684:FTV327696 GDQ327684:GDR327696 GNM327684:GNN327696 GXI327684:GXJ327696 HHE327684:HHF327696 HRA327684:HRB327696 IAW327684:IAX327696 IKS327684:IKT327696 IUO327684:IUP327696 JEK327684:JEL327696 JOG327684:JOH327696 JYC327684:JYD327696 KHY327684:KHZ327696 KRU327684:KRV327696 LBQ327684:LBR327696 LLM327684:LLN327696 LVI327684:LVJ327696 MFE327684:MFF327696 MPA327684:MPB327696 MYW327684:MYX327696 NIS327684:NIT327696 NSO327684:NSP327696 OCK327684:OCL327696 OMG327684:OMH327696 OWC327684:OWD327696 PFY327684:PFZ327696 PPU327684:PPV327696 PZQ327684:PZR327696 QJM327684:QJN327696 QTI327684:QTJ327696 RDE327684:RDF327696 RNA327684:RNB327696 RWW327684:RWX327696 SGS327684:SGT327696 SQO327684:SQP327696 TAK327684:TAL327696 TKG327684:TKH327696 TUC327684:TUD327696 UDY327684:UDZ327696 UNU327684:UNV327696 UXQ327684:UXR327696 VHM327684:VHN327696 VRI327684:VRJ327696 WBE327684:WBF327696 WLA327684:WLB327696 WUW327684:WUX327696 IK393220:IL393232 SG393220:SH393232 ACC393220:ACD393232 ALY393220:ALZ393232 AVU393220:AVV393232 BFQ393220:BFR393232 BPM393220:BPN393232 BZI393220:BZJ393232 CJE393220:CJF393232 CTA393220:CTB393232 DCW393220:DCX393232 DMS393220:DMT393232 DWO393220:DWP393232 EGK393220:EGL393232 EQG393220:EQH393232 FAC393220:FAD393232 FJY393220:FJZ393232 FTU393220:FTV393232 GDQ393220:GDR393232 GNM393220:GNN393232 GXI393220:GXJ393232 HHE393220:HHF393232 HRA393220:HRB393232 IAW393220:IAX393232 IKS393220:IKT393232 IUO393220:IUP393232 JEK393220:JEL393232 JOG393220:JOH393232 JYC393220:JYD393232 KHY393220:KHZ393232 KRU393220:KRV393232 LBQ393220:LBR393232 LLM393220:LLN393232 LVI393220:LVJ393232 MFE393220:MFF393232 MPA393220:MPB393232 MYW393220:MYX393232 NIS393220:NIT393232 NSO393220:NSP393232 OCK393220:OCL393232 OMG393220:OMH393232 OWC393220:OWD393232 PFY393220:PFZ393232 PPU393220:PPV393232 PZQ393220:PZR393232 QJM393220:QJN393232 QTI393220:QTJ393232 RDE393220:RDF393232 RNA393220:RNB393232 RWW393220:RWX393232 SGS393220:SGT393232 SQO393220:SQP393232 TAK393220:TAL393232 TKG393220:TKH393232 TUC393220:TUD393232 UDY393220:UDZ393232 UNU393220:UNV393232 UXQ393220:UXR393232 VHM393220:VHN393232 VRI393220:VRJ393232 WBE393220:WBF393232 WLA393220:WLB393232 WUW393220:WUX393232 IK458756:IL458768 SG458756:SH458768 ACC458756:ACD458768 ALY458756:ALZ458768 AVU458756:AVV458768 BFQ458756:BFR458768 BPM458756:BPN458768 BZI458756:BZJ458768 CJE458756:CJF458768 CTA458756:CTB458768 DCW458756:DCX458768 DMS458756:DMT458768 DWO458756:DWP458768 EGK458756:EGL458768 EQG458756:EQH458768 FAC458756:FAD458768 FJY458756:FJZ458768 FTU458756:FTV458768 GDQ458756:GDR458768 GNM458756:GNN458768 GXI458756:GXJ458768 HHE458756:HHF458768 HRA458756:HRB458768 IAW458756:IAX458768 IKS458756:IKT458768 IUO458756:IUP458768 JEK458756:JEL458768 JOG458756:JOH458768 JYC458756:JYD458768 KHY458756:KHZ458768 KRU458756:KRV458768 LBQ458756:LBR458768 LLM458756:LLN458768 LVI458756:LVJ458768 MFE458756:MFF458768 MPA458756:MPB458768 MYW458756:MYX458768 NIS458756:NIT458768 NSO458756:NSP458768 OCK458756:OCL458768 OMG458756:OMH458768 OWC458756:OWD458768 PFY458756:PFZ458768 PPU458756:PPV458768 PZQ458756:PZR458768 QJM458756:QJN458768 QTI458756:QTJ458768 RDE458756:RDF458768 RNA458756:RNB458768 RWW458756:RWX458768 SGS458756:SGT458768 SQO458756:SQP458768 TAK458756:TAL458768 TKG458756:TKH458768 TUC458756:TUD458768 UDY458756:UDZ458768 UNU458756:UNV458768 UXQ458756:UXR458768 VHM458756:VHN458768 VRI458756:VRJ458768 WBE458756:WBF458768 WLA458756:WLB458768 WUW458756:WUX458768 IK524292:IL524304 SG524292:SH524304 ACC524292:ACD524304 ALY524292:ALZ524304 AVU524292:AVV524304 BFQ524292:BFR524304 BPM524292:BPN524304 BZI524292:BZJ524304 CJE524292:CJF524304 CTA524292:CTB524304 DCW524292:DCX524304 DMS524292:DMT524304 DWO524292:DWP524304 EGK524292:EGL524304 EQG524292:EQH524304 FAC524292:FAD524304 FJY524292:FJZ524304 FTU524292:FTV524304 GDQ524292:GDR524304 GNM524292:GNN524304 GXI524292:GXJ524304 HHE524292:HHF524304 HRA524292:HRB524304 IAW524292:IAX524304 IKS524292:IKT524304 IUO524292:IUP524304 JEK524292:JEL524304 JOG524292:JOH524304 JYC524292:JYD524304 KHY524292:KHZ524304 KRU524292:KRV524304 LBQ524292:LBR524304 LLM524292:LLN524304 LVI524292:LVJ524304 MFE524292:MFF524304 MPA524292:MPB524304 MYW524292:MYX524304 NIS524292:NIT524304 NSO524292:NSP524304 OCK524292:OCL524304 OMG524292:OMH524304 OWC524292:OWD524304 PFY524292:PFZ524304 PPU524292:PPV524304 PZQ524292:PZR524304 QJM524292:QJN524304 QTI524292:QTJ524304 RDE524292:RDF524304 RNA524292:RNB524304 RWW524292:RWX524304 SGS524292:SGT524304 SQO524292:SQP524304 TAK524292:TAL524304 TKG524292:TKH524304 TUC524292:TUD524304 UDY524292:UDZ524304 UNU524292:UNV524304 UXQ524292:UXR524304 VHM524292:VHN524304 VRI524292:VRJ524304 WBE524292:WBF524304 WLA524292:WLB524304 WUW524292:WUX524304 IK589828:IL589840 SG589828:SH589840 ACC589828:ACD589840 ALY589828:ALZ589840 AVU589828:AVV589840 BFQ589828:BFR589840 BPM589828:BPN589840 BZI589828:BZJ589840 CJE589828:CJF589840 CTA589828:CTB589840 DCW589828:DCX589840 DMS589828:DMT589840 DWO589828:DWP589840 EGK589828:EGL589840 EQG589828:EQH589840 FAC589828:FAD589840 FJY589828:FJZ589840 FTU589828:FTV589840 GDQ589828:GDR589840 GNM589828:GNN589840 GXI589828:GXJ589840 HHE589828:HHF589840 HRA589828:HRB589840 IAW589828:IAX589840 IKS589828:IKT589840 IUO589828:IUP589840 JEK589828:JEL589840 JOG589828:JOH589840 JYC589828:JYD589840 KHY589828:KHZ589840 KRU589828:KRV589840 LBQ589828:LBR589840 LLM589828:LLN589840 LVI589828:LVJ589840 MFE589828:MFF589840 MPA589828:MPB589840 MYW589828:MYX589840 NIS589828:NIT589840 NSO589828:NSP589840 OCK589828:OCL589840 OMG589828:OMH589840 OWC589828:OWD589840 PFY589828:PFZ589840 PPU589828:PPV589840 PZQ589828:PZR589840 QJM589828:QJN589840 QTI589828:QTJ589840 RDE589828:RDF589840 RNA589828:RNB589840 RWW589828:RWX589840 SGS589828:SGT589840 SQO589828:SQP589840 TAK589828:TAL589840 TKG589828:TKH589840 TUC589828:TUD589840 UDY589828:UDZ589840 UNU589828:UNV589840 UXQ589828:UXR589840 VHM589828:VHN589840 VRI589828:VRJ589840 WBE589828:WBF589840 WLA589828:WLB589840 WUW589828:WUX589840 IK655364:IL655376 SG655364:SH655376 ACC655364:ACD655376 ALY655364:ALZ655376 AVU655364:AVV655376 BFQ655364:BFR655376 BPM655364:BPN655376 BZI655364:BZJ655376 CJE655364:CJF655376 CTA655364:CTB655376 DCW655364:DCX655376 DMS655364:DMT655376 DWO655364:DWP655376 EGK655364:EGL655376 EQG655364:EQH655376 FAC655364:FAD655376 FJY655364:FJZ655376 FTU655364:FTV655376 GDQ655364:GDR655376 GNM655364:GNN655376 GXI655364:GXJ655376 HHE655364:HHF655376 HRA655364:HRB655376 IAW655364:IAX655376 IKS655364:IKT655376 IUO655364:IUP655376 JEK655364:JEL655376 JOG655364:JOH655376 JYC655364:JYD655376 KHY655364:KHZ655376 KRU655364:KRV655376 LBQ655364:LBR655376 LLM655364:LLN655376 LVI655364:LVJ655376 MFE655364:MFF655376 MPA655364:MPB655376 MYW655364:MYX655376 NIS655364:NIT655376 NSO655364:NSP655376 OCK655364:OCL655376 OMG655364:OMH655376 OWC655364:OWD655376 PFY655364:PFZ655376 PPU655364:PPV655376 PZQ655364:PZR655376 QJM655364:QJN655376 QTI655364:QTJ655376 RDE655364:RDF655376 RNA655364:RNB655376 RWW655364:RWX655376 SGS655364:SGT655376 SQO655364:SQP655376 TAK655364:TAL655376 TKG655364:TKH655376 TUC655364:TUD655376 UDY655364:UDZ655376 UNU655364:UNV655376 UXQ655364:UXR655376 VHM655364:VHN655376 VRI655364:VRJ655376 WBE655364:WBF655376 WLA655364:WLB655376 WUW655364:WUX655376 IK720900:IL720912 SG720900:SH720912 ACC720900:ACD720912 ALY720900:ALZ720912 AVU720900:AVV720912 BFQ720900:BFR720912 BPM720900:BPN720912 BZI720900:BZJ720912 CJE720900:CJF720912 CTA720900:CTB720912 DCW720900:DCX720912 DMS720900:DMT720912 DWO720900:DWP720912 EGK720900:EGL720912 EQG720900:EQH720912 FAC720900:FAD720912 FJY720900:FJZ720912 FTU720900:FTV720912 GDQ720900:GDR720912 GNM720900:GNN720912 GXI720900:GXJ720912 HHE720900:HHF720912 HRA720900:HRB720912 IAW720900:IAX720912 IKS720900:IKT720912 IUO720900:IUP720912 JEK720900:JEL720912 JOG720900:JOH720912 JYC720900:JYD720912 KHY720900:KHZ720912 KRU720900:KRV720912 LBQ720900:LBR720912 LLM720900:LLN720912 LVI720900:LVJ720912 MFE720900:MFF720912 MPA720900:MPB720912 MYW720900:MYX720912 NIS720900:NIT720912 NSO720900:NSP720912 OCK720900:OCL720912 OMG720900:OMH720912 OWC720900:OWD720912 PFY720900:PFZ720912 PPU720900:PPV720912 PZQ720900:PZR720912 QJM720900:QJN720912 QTI720900:QTJ720912 RDE720900:RDF720912 RNA720900:RNB720912 RWW720900:RWX720912 SGS720900:SGT720912 SQO720900:SQP720912 TAK720900:TAL720912 TKG720900:TKH720912 TUC720900:TUD720912 UDY720900:UDZ720912 UNU720900:UNV720912 UXQ720900:UXR720912 VHM720900:VHN720912 VRI720900:VRJ720912 WBE720900:WBF720912 WLA720900:WLB720912 WUW720900:WUX720912 IK786436:IL786448 SG786436:SH786448 ACC786436:ACD786448 ALY786436:ALZ786448 AVU786436:AVV786448 BFQ786436:BFR786448 BPM786436:BPN786448 BZI786436:BZJ786448 CJE786436:CJF786448 CTA786436:CTB786448 DCW786436:DCX786448 DMS786436:DMT786448 DWO786436:DWP786448 EGK786436:EGL786448 EQG786436:EQH786448 FAC786436:FAD786448 FJY786436:FJZ786448 FTU786436:FTV786448 GDQ786436:GDR786448 GNM786436:GNN786448 GXI786436:GXJ786448 HHE786436:HHF786448 HRA786436:HRB786448 IAW786436:IAX786448 IKS786436:IKT786448 IUO786436:IUP786448 JEK786436:JEL786448 JOG786436:JOH786448 JYC786436:JYD786448 KHY786436:KHZ786448 KRU786436:KRV786448 LBQ786436:LBR786448 LLM786436:LLN786448 LVI786436:LVJ786448 MFE786436:MFF786448 MPA786436:MPB786448 MYW786436:MYX786448 NIS786436:NIT786448 NSO786436:NSP786448 OCK786436:OCL786448 OMG786436:OMH786448 OWC786436:OWD786448 PFY786436:PFZ786448 PPU786436:PPV786448 PZQ786436:PZR786448 QJM786436:QJN786448 QTI786436:QTJ786448 RDE786436:RDF786448 RNA786436:RNB786448 RWW786436:RWX786448 SGS786436:SGT786448 SQO786436:SQP786448 TAK786436:TAL786448 TKG786436:TKH786448 TUC786436:TUD786448 UDY786436:UDZ786448 UNU786436:UNV786448 UXQ786436:UXR786448 VHM786436:VHN786448 VRI786436:VRJ786448 WBE786436:WBF786448 WLA786436:WLB786448 WUW786436:WUX786448 IK851972:IL851984 SG851972:SH851984 ACC851972:ACD851984 ALY851972:ALZ851984 AVU851972:AVV851984 BFQ851972:BFR851984 BPM851972:BPN851984 BZI851972:BZJ851984 CJE851972:CJF851984 CTA851972:CTB851984 DCW851972:DCX851984 DMS851972:DMT851984 DWO851972:DWP851984 EGK851972:EGL851984 EQG851972:EQH851984 FAC851972:FAD851984 FJY851972:FJZ851984 FTU851972:FTV851984 GDQ851972:GDR851984 GNM851972:GNN851984 GXI851972:GXJ851984 HHE851972:HHF851984 HRA851972:HRB851984 IAW851972:IAX851984 IKS851972:IKT851984 IUO851972:IUP851984 JEK851972:JEL851984 JOG851972:JOH851984 JYC851972:JYD851984 KHY851972:KHZ851984 KRU851972:KRV851984 LBQ851972:LBR851984 LLM851972:LLN851984 LVI851972:LVJ851984 MFE851972:MFF851984 MPA851972:MPB851984 MYW851972:MYX851984 NIS851972:NIT851984 NSO851972:NSP851984 OCK851972:OCL851984 OMG851972:OMH851984 OWC851972:OWD851984 PFY851972:PFZ851984 PPU851972:PPV851984 PZQ851972:PZR851984 QJM851972:QJN851984 QTI851972:QTJ851984 RDE851972:RDF851984 RNA851972:RNB851984 RWW851972:RWX851984 SGS851972:SGT851984 SQO851972:SQP851984 TAK851972:TAL851984 TKG851972:TKH851984 TUC851972:TUD851984 UDY851972:UDZ851984 UNU851972:UNV851984 UXQ851972:UXR851984 VHM851972:VHN851984 VRI851972:VRJ851984 WBE851972:WBF851984 WLA851972:WLB851984 WUW851972:WUX851984 IK917508:IL917520 SG917508:SH917520 ACC917508:ACD917520 ALY917508:ALZ917520 AVU917508:AVV917520 BFQ917508:BFR917520 BPM917508:BPN917520 BZI917508:BZJ917520 CJE917508:CJF917520 CTA917508:CTB917520 DCW917508:DCX917520 DMS917508:DMT917520 DWO917508:DWP917520 EGK917508:EGL917520 EQG917508:EQH917520 FAC917508:FAD917520 FJY917508:FJZ917520 FTU917508:FTV917520 GDQ917508:GDR917520 GNM917508:GNN917520 GXI917508:GXJ917520 HHE917508:HHF917520 HRA917508:HRB917520 IAW917508:IAX917520 IKS917508:IKT917520 IUO917508:IUP917520 JEK917508:JEL917520 JOG917508:JOH917520 JYC917508:JYD917520 KHY917508:KHZ917520 KRU917508:KRV917520 LBQ917508:LBR917520 LLM917508:LLN917520 LVI917508:LVJ917520 MFE917508:MFF917520 MPA917508:MPB917520 MYW917508:MYX917520 NIS917508:NIT917520 NSO917508:NSP917520 OCK917508:OCL917520 OMG917508:OMH917520 OWC917508:OWD917520 PFY917508:PFZ917520 PPU917508:PPV917520 PZQ917508:PZR917520 QJM917508:QJN917520 QTI917508:QTJ917520 RDE917508:RDF917520 RNA917508:RNB917520 RWW917508:RWX917520 SGS917508:SGT917520 SQO917508:SQP917520 TAK917508:TAL917520 TKG917508:TKH917520 TUC917508:TUD917520 UDY917508:UDZ917520 UNU917508:UNV917520 UXQ917508:UXR917520 VHM917508:VHN917520 VRI917508:VRJ917520 WBE917508:WBF917520 WLA917508:WLB917520 WUW917508:WUX917520 IK983044:IL983056 SG983044:SH983056 ACC983044:ACD983056 ALY983044:ALZ983056 AVU983044:AVV983056 BFQ983044:BFR983056 BPM983044:BPN983056 BZI983044:BZJ983056 CJE983044:CJF983056 CTA983044:CTB983056 DCW983044:DCX983056 DMS983044:DMT983056 DWO983044:DWP983056 EGK983044:EGL983056 EQG983044:EQH983056 FAC983044:FAD983056 FJY983044:FJZ983056 FTU983044:FTV983056 GDQ983044:GDR983056 GNM983044:GNN983056 GXI983044:GXJ983056 HHE983044:HHF983056 HRA983044:HRB983056 IAW983044:IAX983056 IKS983044:IKT983056 IUO983044:IUP983056 JEK983044:JEL983056 JOG983044:JOH983056 JYC983044:JYD983056 KHY983044:KHZ983056 KRU983044:KRV983056 LBQ983044:LBR983056 LLM983044:LLN983056 LVI983044:LVJ983056 MFE983044:MFF983056 MPA983044:MPB983056 MYW983044:MYX983056 NIS983044:NIT983056 NSO983044:NSP983056 OCK983044:OCL983056 OMG983044:OMH983056 OWC983044:OWD983056 PFY983044:PFZ983056 PPU983044:PPV983056 PZQ983044:PZR983056 QJM983044:QJN983056 QTI983044:QTJ983056 RDE983044:RDF983056 RNA983044:RNB983056 RWW983044:RWX983056 SGS983044:SGT983056 SQO983044:SQP983056 TAK983044:TAL983056 TKG983044:TKH983056 TUC983044:TUD983056 UDY983044:UDZ983056 UNU983044:UNV983056 UXQ983044:UXR983056 VHM983044:VHN983056 VRI983044:VRJ983056 WBE983044:WBF983056 WLA983044:WLB983056 WUW983044:WUX983056 IS7:IT19 SO7:SP19 ACK7:ACL19 AMG7:AMH19 AWC7:AWD19 BFY7:BFZ19 BPU7:BPV19 BZQ7:BZR19 CJM7:CJN19 CTI7:CTJ19 DDE7:DDF19 DNA7:DNB19 DWW7:DWX19 EGS7:EGT19 EQO7:EQP19 FAK7:FAL19 FKG7:FKH19 FUC7:FUD19 GDY7:GDZ19 GNU7:GNV19 GXQ7:GXR19 HHM7:HHN19 HRI7:HRJ19 IBE7:IBF19 ILA7:ILB19 IUW7:IUX19 JES7:JET19 JOO7:JOP19 JYK7:JYL19 KIG7:KIH19 KSC7:KSD19 LBY7:LBZ19 LLU7:LLV19 LVQ7:LVR19 MFM7:MFN19 MPI7:MPJ19 MZE7:MZF19 NJA7:NJB19 NSW7:NSX19 OCS7:OCT19 OMO7:OMP19 OWK7:OWL19 PGG7:PGH19 PQC7:PQD19 PZY7:PZZ19 QJU7:QJV19 QTQ7:QTR19 RDM7:RDN19 RNI7:RNJ19 RXE7:RXF19 SHA7:SHB19 SQW7:SQX19 TAS7:TAT19 TKO7:TKP19 TUK7:TUL19 UEG7:UEH19 UOC7:UOD19 UXY7:UXZ19 VHU7:VHV19 VRQ7:VRR19 WBM7:WBN19 WLI7:WLJ19 WVE7:WVF19 IS65518:IT65530 SO65518:SP65530 ACK65518:ACL65530 AMG65518:AMH65530 AWC65518:AWD65530 BFY65518:BFZ65530 BPU65518:BPV65530 BZQ65518:BZR65530 CJM65518:CJN65530 CTI65518:CTJ65530 DDE65518:DDF65530 DNA65518:DNB65530 DWW65518:DWX65530 EGS65518:EGT65530 EQO65518:EQP65530 FAK65518:FAL65530 FKG65518:FKH65530 FUC65518:FUD65530 GDY65518:GDZ65530 GNU65518:GNV65530 GXQ65518:GXR65530 HHM65518:HHN65530 HRI65518:HRJ65530 IBE65518:IBF65530 ILA65518:ILB65530 IUW65518:IUX65530 JES65518:JET65530 JOO65518:JOP65530 JYK65518:JYL65530 KIG65518:KIH65530 KSC65518:KSD65530 LBY65518:LBZ65530 LLU65518:LLV65530 LVQ65518:LVR65530 MFM65518:MFN65530 MPI65518:MPJ65530 MZE65518:MZF65530 NJA65518:NJB65530 NSW65518:NSX65530 OCS65518:OCT65530 OMO65518:OMP65530 OWK65518:OWL65530 PGG65518:PGH65530 PQC65518:PQD65530 PZY65518:PZZ65530 QJU65518:QJV65530 QTQ65518:QTR65530 RDM65518:RDN65530 RNI65518:RNJ65530 RXE65518:RXF65530 SHA65518:SHB65530 SQW65518:SQX65530 TAS65518:TAT65530 TKO65518:TKP65530 TUK65518:TUL65530 UEG65518:UEH65530 UOC65518:UOD65530 UXY65518:UXZ65530 VHU65518:VHV65530 VRQ65518:VRR65530 WBM65518:WBN65530 WLI65518:WLJ65530 WVE65518:WVF65530 IS131054:IT131066 SO131054:SP131066 ACK131054:ACL131066 AMG131054:AMH131066 AWC131054:AWD131066 BFY131054:BFZ131066 BPU131054:BPV131066 BZQ131054:BZR131066 CJM131054:CJN131066 CTI131054:CTJ131066 DDE131054:DDF131066 DNA131054:DNB131066 DWW131054:DWX131066 EGS131054:EGT131066 EQO131054:EQP131066 FAK131054:FAL131066 FKG131054:FKH131066 FUC131054:FUD131066 GDY131054:GDZ131066 GNU131054:GNV131066 GXQ131054:GXR131066 HHM131054:HHN131066 HRI131054:HRJ131066 IBE131054:IBF131066 ILA131054:ILB131066 IUW131054:IUX131066 JES131054:JET131066 JOO131054:JOP131066 JYK131054:JYL131066 KIG131054:KIH131066 KSC131054:KSD131066 LBY131054:LBZ131066 LLU131054:LLV131066 LVQ131054:LVR131066 MFM131054:MFN131066 MPI131054:MPJ131066 MZE131054:MZF131066 NJA131054:NJB131066 NSW131054:NSX131066 OCS131054:OCT131066 OMO131054:OMP131066 OWK131054:OWL131066 PGG131054:PGH131066 PQC131054:PQD131066 PZY131054:PZZ131066 QJU131054:QJV131066 QTQ131054:QTR131066 RDM131054:RDN131066 RNI131054:RNJ131066 RXE131054:RXF131066 SHA131054:SHB131066 SQW131054:SQX131066 TAS131054:TAT131066 TKO131054:TKP131066 TUK131054:TUL131066 UEG131054:UEH131066 UOC131054:UOD131066 UXY131054:UXZ131066 VHU131054:VHV131066 VRQ131054:VRR131066 WBM131054:WBN131066 WLI131054:WLJ131066 WVE131054:WVF131066 IS196590:IT196602 SO196590:SP196602 ACK196590:ACL196602 AMG196590:AMH196602 AWC196590:AWD196602 BFY196590:BFZ196602 BPU196590:BPV196602 BZQ196590:BZR196602 CJM196590:CJN196602 CTI196590:CTJ196602 DDE196590:DDF196602 DNA196590:DNB196602 DWW196590:DWX196602 EGS196590:EGT196602 EQO196590:EQP196602 FAK196590:FAL196602 FKG196590:FKH196602 FUC196590:FUD196602 GDY196590:GDZ196602 GNU196590:GNV196602 GXQ196590:GXR196602 HHM196590:HHN196602 HRI196590:HRJ196602 IBE196590:IBF196602 ILA196590:ILB196602 IUW196590:IUX196602 JES196590:JET196602 JOO196590:JOP196602 JYK196590:JYL196602 KIG196590:KIH196602 KSC196590:KSD196602 LBY196590:LBZ196602 LLU196590:LLV196602 LVQ196590:LVR196602 MFM196590:MFN196602 MPI196590:MPJ196602 MZE196590:MZF196602 NJA196590:NJB196602 NSW196590:NSX196602 OCS196590:OCT196602 OMO196590:OMP196602 OWK196590:OWL196602 PGG196590:PGH196602 PQC196590:PQD196602 PZY196590:PZZ196602 QJU196590:QJV196602 QTQ196590:QTR196602 RDM196590:RDN196602 RNI196590:RNJ196602 RXE196590:RXF196602 SHA196590:SHB196602 SQW196590:SQX196602 TAS196590:TAT196602 TKO196590:TKP196602 TUK196590:TUL196602 UEG196590:UEH196602 UOC196590:UOD196602 UXY196590:UXZ196602 VHU196590:VHV196602 VRQ196590:VRR196602 WBM196590:WBN196602 WLI196590:WLJ196602 WVE196590:WVF196602 IS262126:IT262138 SO262126:SP262138 ACK262126:ACL262138 AMG262126:AMH262138 AWC262126:AWD262138 BFY262126:BFZ262138 BPU262126:BPV262138 BZQ262126:BZR262138 CJM262126:CJN262138 CTI262126:CTJ262138 DDE262126:DDF262138 DNA262126:DNB262138 DWW262126:DWX262138 EGS262126:EGT262138 EQO262126:EQP262138 FAK262126:FAL262138 FKG262126:FKH262138 FUC262126:FUD262138 GDY262126:GDZ262138 GNU262126:GNV262138 GXQ262126:GXR262138 HHM262126:HHN262138 HRI262126:HRJ262138 IBE262126:IBF262138 ILA262126:ILB262138 IUW262126:IUX262138 JES262126:JET262138 JOO262126:JOP262138 JYK262126:JYL262138 KIG262126:KIH262138 KSC262126:KSD262138 LBY262126:LBZ262138 LLU262126:LLV262138 LVQ262126:LVR262138 MFM262126:MFN262138 MPI262126:MPJ262138 MZE262126:MZF262138 NJA262126:NJB262138 NSW262126:NSX262138 OCS262126:OCT262138 OMO262126:OMP262138 OWK262126:OWL262138 PGG262126:PGH262138 PQC262126:PQD262138 PZY262126:PZZ262138 QJU262126:QJV262138 QTQ262126:QTR262138 RDM262126:RDN262138 RNI262126:RNJ262138 RXE262126:RXF262138 SHA262126:SHB262138 SQW262126:SQX262138 TAS262126:TAT262138 TKO262126:TKP262138 TUK262126:TUL262138 UEG262126:UEH262138 UOC262126:UOD262138 UXY262126:UXZ262138 VHU262126:VHV262138 VRQ262126:VRR262138 WBM262126:WBN262138 WLI262126:WLJ262138 WVE262126:WVF262138 IS327662:IT327674 SO327662:SP327674 ACK327662:ACL327674 AMG327662:AMH327674 AWC327662:AWD327674 BFY327662:BFZ327674 BPU327662:BPV327674 BZQ327662:BZR327674 CJM327662:CJN327674 CTI327662:CTJ327674 DDE327662:DDF327674 DNA327662:DNB327674 DWW327662:DWX327674 EGS327662:EGT327674 EQO327662:EQP327674 FAK327662:FAL327674 FKG327662:FKH327674 FUC327662:FUD327674 GDY327662:GDZ327674 GNU327662:GNV327674 GXQ327662:GXR327674 HHM327662:HHN327674 HRI327662:HRJ327674 IBE327662:IBF327674 ILA327662:ILB327674 IUW327662:IUX327674 JES327662:JET327674 JOO327662:JOP327674 JYK327662:JYL327674 KIG327662:KIH327674 KSC327662:KSD327674 LBY327662:LBZ327674 LLU327662:LLV327674 LVQ327662:LVR327674 MFM327662:MFN327674 MPI327662:MPJ327674 MZE327662:MZF327674 NJA327662:NJB327674 NSW327662:NSX327674 OCS327662:OCT327674 OMO327662:OMP327674 OWK327662:OWL327674 PGG327662:PGH327674 PQC327662:PQD327674 PZY327662:PZZ327674 QJU327662:QJV327674 QTQ327662:QTR327674 RDM327662:RDN327674 RNI327662:RNJ327674 RXE327662:RXF327674 SHA327662:SHB327674 SQW327662:SQX327674 TAS327662:TAT327674 TKO327662:TKP327674 TUK327662:TUL327674 UEG327662:UEH327674 UOC327662:UOD327674 UXY327662:UXZ327674 VHU327662:VHV327674 VRQ327662:VRR327674 WBM327662:WBN327674 WLI327662:WLJ327674 WVE327662:WVF327674 IS393198:IT393210 SO393198:SP393210 ACK393198:ACL393210 AMG393198:AMH393210 AWC393198:AWD393210 BFY393198:BFZ393210 BPU393198:BPV393210 BZQ393198:BZR393210 CJM393198:CJN393210 CTI393198:CTJ393210 DDE393198:DDF393210 DNA393198:DNB393210 DWW393198:DWX393210 EGS393198:EGT393210 EQO393198:EQP393210 FAK393198:FAL393210 FKG393198:FKH393210 FUC393198:FUD393210 GDY393198:GDZ393210 GNU393198:GNV393210 GXQ393198:GXR393210 HHM393198:HHN393210 HRI393198:HRJ393210 IBE393198:IBF393210 ILA393198:ILB393210 IUW393198:IUX393210 JES393198:JET393210 JOO393198:JOP393210 JYK393198:JYL393210 KIG393198:KIH393210 KSC393198:KSD393210 LBY393198:LBZ393210 LLU393198:LLV393210 LVQ393198:LVR393210 MFM393198:MFN393210 MPI393198:MPJ393210 MZE393198:MZF393210 NJA393198:NJB393210 NSW393198:NSX393210 OCS393198:OCT393210 OMO393198:OMP393210 OWK393198:OWL393210 PGG393198:PGH393210 PQC393198:PQD393210 PZY393198:PZZ393210 QJU393198:QJV393210 QTQ393198:QTR393210 RDM393198:RDN393210 RNI393198:RNJ393210 RXE393198:RXF393210 SHA393198:SHB393210 SQW393198:SQX393210 TAS393198:TAT393210 TKO393198:TKP393210 TUK393198:TUL393210 UEG393198:UEH393210 UOC393198:UOD393210 UXY393198:UXZ393210 VHU393198:VHV393210 VRQ393198:VRR393210 WBM393198:WBN393210 WLI393198:WLJ393210 WVE393198:WVF393210 IS458734:IT458746 SO458734:SP458746 ACK458734:ACL458746 AMG458734:AMH458746 AWC458734:AWD458746 BFY458734:BFZ458746 BPU458734:BPV458746 BZQ458734:BZR458746 CJM458734:CJN458746 CTI458734:CTJ458746 DDE458734:DDF458746 DNA458734:DNB458746 DWW458734:DWX458746 EGS458734:EGT458746 EQO458734:EQP458746 FAK458734:FAL458746 FKG458734:FKH458746 FUC458734:FUD458746 GDY458734:GDZ458746 GNU458734:GNV458746 GXQ458734:GXR458746 HHM458734:HHN458746 HRI458734:HRJ458746 IBE458734:IBF458746 ILA458734:ILB458746 IUW458734:IUX458746 JES458734:JET458746 JOO458734:JOP458746 JYK458734:JYL458746 KIG458734:KIH458746 KSC458734:KSD458746 LBY458734:LBZ458746 LLU458734:LLV458746 LVQ458734:LVR458746 MFM458734:MFN458746 MPI458734:MPJ458746 MZE458734:MZF458746 NJA458734:NJB458746 NSW458734:NSX458746 OCS458734:OCT458746 OMO458734:OMP458746 OWK458734:OWL458746 PGG458734:PGH458746 PQC458734:PQD458746 PZY458734:PZZ458746 QJU458734:QJV458746 QTQ458734:QTR458746 RDM458734:RDN458746 RNI458734:RNJ458746 RXE458734:RXF458746 SHA458734:SHB458746 SQW458734:SQX458746 TAS458734:TAT458746 TKO458734:TKP458746 TUK458734:TUL458746 UEG458734:UEH458746 UOC458734:UOD458746 UXY458734:UXZ458746 VHU458734:VHV458746 VRQ458734:VRR458746 WBM458734:WBN458746 WLI458734:WLJ458746 WVE458734:WVF458746 IS524270:IT524282 SO524270:SP524282 ACK524270:ACL524282 AMG524270:AMH524282 AWC524270:AWD524282 BFY524270:BFZ524282 BPU524270:BPV524282 BZQ524270:BZR524282 CJM524270:CJN524282 CTI524270:CTJ524282 DDE524270:DDF524282 DNA524270:DNB524282 DWW524270:DWX524282 EGS524270:EGT524282 EQO524270:EQP524282 FAK524270:FAL524282 FKG524270:FKH524282 FUC524270:FUD524282 GDY524270:GDZ524282 GNU524270:GNV524282 GXQ524270:GXR524282 HHM524270:HHN524282 HRI524270:HRJ524282 IBE524270:IBF524282 ILA524270:ILB524282 IUW524270:IUX524282 JES524270:JET524282 JOO524270:JOP524282 JYK524270:JYL524282 KIG524270:KIH524282 KSC524270:KSD524282 LBY524270:LBZ524282 LLU524270:LLV524282 LVQ524270:LVR524282 MFM524270:MFN524282 MPI524270:MPJ524282 MZE524270:MZF524282 NJA524270:NJB524282 NSW524270:NSX524282 OCS524270:OCT524282 OMO524270:OMP524282 OWK524270:OWL524282 PGG524270:PGH524282 PQC524270:PQD524282 PZY524270:PZZ524282 QJU524270:QJV524282 QTQ524270:QTR524282 RDM524270:RDN524282 RNI524270:RNJ524282 RXE524270:RXF524282 SHA524270:SHB524282 SQW524270:SQX524282 TAS524270:TAT524282 TKO524270:TKP524282 TUK524270:TUL524282 UEG524270:UEH524282 UOC524270:UOD524282 UXY524270:UXZ524282 VHU524270:VHV524282 VRQ524270:VRR524282 WBM524270:WBN524282 WLI524270:WLJ524282 WVE524270:WVF524282 IS589806:IT589818 SO589806:SP589818 ACK589806:ACL589818 AMG589806:AMH589818 AWC589806:AWD589818 BFY589806:BFZ589818 BPU589806:BPV589818 BZQ589806:BZR589818 CJM589806:CJN589818 CTI589806:CTJ589818 DDE589806:DDF589818 DNA589806:DNB589818 DWW589806:DWX589818 EGS589806:EGT589818 EQO589806:EQP589818 FAK589806:FAL589818 FKG589806:FKH589818 FUC589806:FUD589818 GDY589806:GDZ589818 GNU589806:GNV589818 GXQ589806:GXR589818 HHM589806:HHN589818 HRI589806:HRJ589818 IBE589806:IBF589818 ILA589806:ILB589818 IUW589806:IUX589818 JES589806:JET589818 JOO589806:JOP589818 JYK589806:JYL589818 KIG589806:KIH589818 KSC589806:KSD589818 LBY589806:LBZ589818 LLU589806:LLV589818 LVQ589806:LVR589818 MFM589806:MFN589818 MPI589806:MPJ589818 MZE589806:MZF589818 NJA589806:NJB589818 NSW589806:NSX589818 OCS589806:OCT589818 OMO589806:OMP589818 OWK589806:OWL589818 PGG589806:PGH589818 PQC589806:PQD589818 PZY589806:PZZ589818 QJU589806:QJV589818 QTQ589806:QTR589818 RDM589806:RDN589818 RNI589806:RNJ589818 RXE589806:RXF589818 SHA589806:SHB589818 SQW589806:SQX589818 TAS589806:TAT589818 TKO589806:TKP589818 TUK589806:TUL589818 UEG589806:UEH589818 UOC589806:UOD589818 UXY589806:UXZ589818 VHU589806:VHV589818 VRQ589806:VRR589818 WBM589806:WBN589818 WLI589806:WLJ589818 WVE589806:WVF589818 IS655342:IT655354 SO655342:SP655354 ACK655342:ACL655354 AMG655342:AMH655354 AWC655342:AWD655354 BFY655342:BFZ655354 BPU655342:BPV655354 BZQ655342:BZR655354 CJM655342:CJN655354 CTI655342:CTJ655354 DDE655342:DDF655354 DNA655342:DNB655354 DWW655342:DWX655354 EGS655342:EGT655354 EQO655342:EQP655354 FAK655342:FAL655354 FKG655342:FKH655354 FUC655342:FUD655354 GDY655342:GDZ655354 GNU655342:GNV655354 GXQ655342:GXR655354 HHM655342:HHN655354 HRI655342:HRJ655354 IBE655342:IBF655354 ILA655342:ILB655354 IUW655342:IUX655354 JES655342:JET655354 JOO655342:JOP655354 JYK655342:JYL655354 KIG655342:KIH655354 KSC655342:KSD655354 LBY655342:LBZ655354 LLU655342:LLV655354 LVQ655342:LVR655354 MFM655342:MFN655354 MPI655342:MPJ655354 MZE655342:MZF655354 NJA655342:NJB655354 NSW655342:NSX655354 OCS655342:OCT655354 OMO655342:OMP655354 OWK655342:OWL655354 PGG655342:PGH655354 PQC655342:PQD655354 PZY655342:PZZ655354 QJU655342:QJV655354 QTQ655342:QTR655354 RDM655342:RDN655354 RNI655342:RNJ655354 RXE655342:RXF655354 SHA655342:SHB655354 SQW655342:SQX655354 TAS655342:TAT655354 TKO655342:TKP655354 TUK655342:TUL655354 UEG655342:UEH655354 UOC655342:UOD655354 UXY655342:UXZ655354 VHU655342:VHV655354 VRQ655342:VRR655354 WBM655342:WBN655354 WLI655342:WLJ655354 WVE655342:WVF655354 IS720878:IT720890 SO720878:SP720890 ACK720878:ACL720890 AMG720878:AMH720890 AWC720878:AWD720890 BFY720878:BFZ720890 BPU720878:BPV720890 BZQ720878:BZR720890 CJM720878:CJN720890 CTI720878:CTJ720890 DDE720878:DDF720890 DNA720878:DNB720890 DWW720878:DWX720890 EGS720878:EGT720890 EQO720878:EQP720890 FAK720878:FAL720890 FKG720878:FKH720890 FUC720878:FUD720890 GDY720878:GDZ720890 GNU720878:GNV720890 GXQ720878:GXR720890 HHM720878:HHN720890 HRI720878:HRJ720890 IBE720878:IBF720890 ILA720878:ILB720890 IUW720878:IUX720890 JES720878:JET720890 JOO720878:JOP720890 JYK720878:JYL720890 KIG720878:KIH720890 KSC720878:KSD720890 LBY720878:LBZ720890 LLU720878:LLV720890 LVQ720878:LVR720890 MFM720878:MFN720890 MPI720878:MPJ720890 MZE720878:MZF720890 NJA720878:NJB720890 NSW720878:NSX720890 OCS720878:OCT720890 OMO720878:OMP720890 OWK720878:OWL720890 PGG720878:PGH720890 PQC720878:PQD720890 PZY720878:PZZ720890 QJU720878:QJV720890 QTQ720878:QTR720890 RDM720878:RDN720890 RNI720878:RNJ720890 RXE720878:RXF720890 SHA720878:SHB720890 SQW720878:SQX720890 TAS720878:TAT720890 TKO720878:TKP720890 TUK720878:TUL720890 UEG720878:UEH720890 UOC720878:UOD720890 UXY720878:UXZ720890 VHU720878:VHV720890 VRQ720878:VRR720890 WBM720878:WBN720890 WLI720878:WLJ720890 WVE720878:WVF720890 IS786414:IT786426 SO786414:SP786426 ACK786414:ACL786426 AMG786414:AMH786426 AWC786414:AWD786426 BFY786414:BFZ786426 BPU786414:BPV786426 BZQ786414:BZR786426 CJM786414:CJN786426 CTI786414:CTJ786426 DDE786414:DDF786426 DNA786414:DNB786426 DWW786414:DWX786426 EGS786414:EGT786426 EQO786414:EQP786426 FAK786414:FAL786426 FKG786414:FKH786426 FUC786414:FUD786426 GDY786414:GDZ786426 GNU786414:GNV786426 GXQ786414:GXR786426 HHM786414:HHN786426 HRI786414:HRJ786426 IBE786414:IBF786426 ILA786414:ILB786426 IUW786414:IUX786426 JES786414:JET786426 JOO786414:JOP786426 JYK786414:JYL786426 KIG786414:KIH786426 KSC786414:KSD786426 LBY786414:LBZ786426 LLU786414:LLV786426 LVQ786414:LVR786426 MFM786414:MFN786426 MPI786414:MPJ786426 MZE786414:MZF786426 NJA786414:NJB786426 NSW786414:NSX786426 OCS786414:OCT786426 OMO786414:OMP786426 OWK786414:OWL786426 PGG786414:PGH786426 PQC786414:PQD786426 PZY786414:PZZ786426 QJU786414:QJV786426 QTQ786414:QTR786426 RDM786414:RDN786426 RNI786414:RNJ786426 RXE786414:RXF786426 SHA786414:SHB786426 SQW786414:SQX786426 TAS786414:TAT786426 TKO786414:TKP786426 TUK786414:TUL786426 UEG786414:UEH786426 UOC786414:UOD786426 UXY786414:UXZ786426 VHU786414:VHV786426 VRQ786414:VRR786426 WBM786414:WBN786426 WLI786414:WLJ786426 WVE786414:WVF786426 IS851950:IT851962 SO851950:SP851962 ACK851950:ACL851962 AMG851950:AMH851962 AWC851950:AWD851962 BFY851950:BFZ851962 BPU851950:BPV851962 BZQ851950:BZR851962 CJM851950:CJN851962 CTI851950:CTJ851962 DDE851950:DDF851962 DNA851950:DNB851962 DWW851950:DWX851962 EGS851950:EGT851962 EQO851950:EQP851962 FAK851950:FAL851962 FKG851950:FKH851962 FUC851950:FUD851962 GDY851950:GDZ851962 GNU851950:GNV851962 GXQ851950:GXR851962 HHM851950:HHN851962 HRI851950:HRJ851962 IBE851950:IBF851962 ILA851950:ILB851962 IUW851950:IUX851962 JES851950:JET851962 JOO851950:JOP851962 JYK851950:JYL851962 KIG851950:KIH851962 KSC851950:KSD851962 LBY851950:LBZ851962 LLU851950:LLV851962 LVQ851950:LVR851962 MFM851950:MFN851962 MPI851950:MPJ851962 MZE851950:MZF851962 NJA851950:NJB851962 NSW851950:NSX851962 OCS851950:OCT851962 OMO851950:OMP851962 OWK851950:OWL851962 PGG851950:PGH851962 PQC851950:PQD851962 PZY851950:PZZ851962 QJU851950:QJV851962 QTQ851950:QTR851962 RDM851950:RDN851962 RNI851950:RNJ851962 RXE851950:RXF851962 SHA851950:SHB851962 SQW851950:SQX851962 TAS851950:TAT851962 TKO851950:TKP851962 TUK851950:TUL851962 UEG851950:UEH851962 UOC851950:UOD851962 UXY851950:UXZ851962 VHU851950:VHV851962 VRQ851950:VRR851962 WBM851950:WBN851962 WLI851950:WLJ851962 WVE851950:WVF851962 IS917486:IT917498 SO917486:SP917498 ACK917486:ACL917498 AMG917486:AMH917498 AWC917486:AWD917498 BFY917486:BFZ917498 BPU917486:BPV917498 BZQ917486:BZR917498 CJM917486:CJN917498 CTI917486:CTJ917498 DDE917486:DDF917498 DNA917486:DNB917498 DWW917486:DWX917498 EGS917486:EGT917498 EQO917486:EQP917498 FAK917486:FAL917498 FKG917486:FKH917498 FUC917486:FUD917498 GDY917486:GDZ917498 GNU917486:GNV917498 GXQ917486:GXR917498 HHM917486:HHN917498 HRI917486:HRJ917498 IBE917486:IBF917498 ILA917486:ILB917498 IUW917486:IUX917498 JES917486:JET917498 JOO917486:JOP917498 JYK917486:JYL917498 KIG917486:KIH917498 KSC917486:KSD917498 LBY917486:LBZ917498 LLU917486:LLV917498 LVQ917486:LVR917498 MFM917486:MFN917498 MPI917486:MPJ917498 MZE917486:MZF917498 NJA917486:NJB917498 NSW917486:NSX917498 OCS917486:OCT917498 OMO917486:OMP917498 OWK917486:OWL917498 PGG917486:PGH917498 PQC917486:PQD917498 PZY917486:PZZ917498 QJU917486:QJV917498 QTQ917486:QTR917498 RDM917486:RDN917498 RNI917486:RNJ917498 RXE917486:RXF917498 SHA917486:SHB917498 SQW917486:SQX917498 TAS917486:TAT917498 TKO917486:TKP917498 TUK917486:TUL917498 UEG917486:UEH917498 UOC917486:UOD917498 UXY917486:UXZ917498 VHU917486:VHV917498 VRQ917486:VRR917498 WBM917486:WBN917498 WLI917486:WLJ917498 WVE917486:WVF917498 IS983022:IT983034 SO983022:SP983034 ACK983022:ACL983034 AMG983022:AMH983034 AWC983022:AWD983034 BFY983022:BFZ983034 BPU983022:BPV983034 BZQ983022:BZR983034 CJM983022:CJN983034 CTI983022:CTJ983034 DDE983022:DDF983034 DNA983022:DNB983034 DWW983022:DWX983034 EGS983022:EGT983034 EQO983022:EQP983034 FAK983022:FAL983034 FKG983022:FKH983034 FUC983022:FUD983034 GDY983022:GDZ983034 GNU983022:GNV983034 GXQ983022:GXR983034 HHM983022:HHN983034 HRI983022:HRJ983034 IBE983022:IBF983034 ILA983022:ILB983034 IUW983022:IUX983034 JES983022:JET983034 JOO983022:JOP983034 JYK983022:JYL983034 KIG983022:KIH983034 KSC983022:KSD983034 LBY983022:LBZ983034 LLU983022:LLV983034 LVQ983022:LVR983034 MFM983022:MFN983034 MPI983022:MPJ983034 MZE983022:MZF983034 NJA983022:NJB983034 NSW983022:NSX983034 OCS983022:OCT983034 OMO983022:OMP983034 OWK983022:OWL983034 PGG983022:PGH983034 PQC983022:PQD983034 PZY983022:PZZ983034 QJU983022:QJV983034 QTQ983022:QTR983034 RDM983022:RDN983034 RNI983022:RNJ983034 RXE983022:RXF983034 SHA983022:SHB983034 SQW983022:SQX983034 TAS983022:TAT983034 TKO983022:TKP983034 TUK983022:TUL983034 UEG983022:UEH983034 UOC983022:UOD983034 UXY983022:UXZ983034 VHU983022:VHV983034 VRQ983022:VRR983034 WBM983022:WBN983034 WLI983022:WLJ983034 WVE983022:WVF983034 IS65540:IT65552 SO65540:SP65552 ACK65540:ACL65552 AMG65540:AMH65552 AWC65540:AWD65552 BFY65540:BFZ65552 BPU65540:BPV65552 BZQ65540:BZR65552 CJM65540:CJN65552 CTI65540:CTJ65552 DDE65540:DDF65552 DNA65540:DNB65552 DWW65540:DWX65552 EGS65540:EGT65552 EQO65540:EQP65552 FAK65540:FAL65552 FKG65540:FKH65552 FUC65540:FUD65552 GDY65540:GDZ65552 GNU65540:GNV65552 GXQ65540:GXR65552 HHM65540:HHN65552 HRI65540:HRJ65552 IBE65540:IBF65552 ILA65540:ILB65552 IUW65540:IUX65552 JES65540:JET65552 JOO65540:JOP65552 JYK65540:JYL65552 KIG65540:KIH65552 KSC65540:KSD65552 LBY65540:LBZ65552 LLU65540:LLV65552 LVQ65540:LVR65552 MFM65540:MFN65552 MPI65540:MPJ65552 MZE65540:MZF65552 NJA65540:NJB65552 NSW65540:NSX65552 OCS65540:OCT65552 OMO65540:OMP65552 OWK65540:OWL65552 PGG65540:PGH65552 PQC65540:PQD65552 PZY65540:PZZ65552 QJU65540:QJV65552 QTQ65540:QTR65552 RDM65540:RDN65552 RNI65540:RNJ65552 RXE65540:RXF65552 SHA65540:SHB65552 SQW65540:SQX65552 TAS65540:TAT65552 TKO65540:TKP65552 TUK65540:TUL65552 UEG65540:UEH65552 UOC65540:UOD65552 UXY65540:UXZ65552 VHU65540:VHV65552 VRQ65540:VRR65552 WBM65540:WBN65552 WLI65540:WLJ65552 WVE65540:WVF65552 IS131076:IT131088 SO131076:SP131088 ACK131076:ACL131088 AMG131076:AMH131088 AWC131076:AWD131088 BFY131076:BFZ131088 BPU131076:BPV131088 BZQ131076:BZR131088 CJM131076:CJN131088 CTI131076:CTJ131088 DDE131076:DDF131088 DNA131076:DNB131088 DWW131076:DWX131088 EGS131076:EGT131088 EQO131076:EQP131088 FAK131076:FAL131088 FKG131076:FKH131088 FUC131076:FUD131088 GDY131076:GDZ131088 GNU131076:GNV131088 GXQ131076:GXR131088 HHM131076:HHN131088 HRI131076:HRJ131088 IBE131076:IBF131088 ILA131076:ILB131088 IUW131076:IUX131088 JES131076:JET131088 JOO131076:JOP131088 JYK131076:JYL131088 KIG131076:KIH131088 KSC131076:KSD131088 LBY131076:LBZ131088 LLU131076:LLV131088 LVQ131076:LVR131088 MFM131076:MFN131088 MPI131076:MPJ131088 MZE131076:MZF131088 NJA131076:NJB131088 NSW131076:NSX131088 OCS131076:OCT131088 OMO131076:OMP131088 OWK131076:OWL131088 PGG131076:PGH131088 PQC131076:PQD131088 PZY131076:PZZ131088 QJU131076:QJV131088 QTQ131076:QTR131088 RDM131076:RDN131088 RNI131076:RNJ131088 RXE131076:RXF131088 SHA131076:SHB131088 SQW131076:SQX131088 TAS131076:TAT131088 TKO131076:TKP131088 TUK131076:TUL131088 UEG131076:UEH131088 UOC131076:UOD131088 UXY131076:UXZ131088 VHU131076:VHV131088 VRQ131076:VRR131088 WBM131076:WBN131088 WLI131076:WLJ131088 WVE131076:WVF131088 IS196612:IT196624 SO196612:SP196624 ACK196612:ACL196624 AMG196612:AMH196624 AWC196612:AWD196624 BFY196612:BFZ196624 BPU196612:BPV196624 BZQ196612:BZR196624 CJM196612:CJN196624 CTI196612:CTJ196624 DDE196612:DDF196624 DNA196612:DNB196624 DWW196612:DWX196624 EGS196612:EGT196624 EQO196612:EQP196624 FAK196612:FAL196624 FKG196612:FKH196624 FUC196612:FUD196624 GDY196612:GDZ196624 GNU196612:GNV196624 GXQ196612:GXR196624 HHM196612:HHN196624 HRI196612:HRJ196624 IBE196612:IBF196624 ILA196612:ILB196624 IUW196612:IUX196624 JES196612:JET196624 JOO196612:JOP196624 JYK196612:JYL196624 KIG196612:KIH196624 KSC196612:KSD196624 LBY196612:LBZ196624 LLU196612:LLV196624 LVQ196612:LVR196624 MFM196612:MFN196624 MPI196612:MPJ196624 MZE196612:MZF196624 NJA196612:NJB196624 NSW196612:NSX196624 OCS196612:OCT196624 OMO196612:OMP196624 OWK196612:OWL196624 PGG196612:PGH196624 PQC196612:PQD196624 PZY196612:PZZ196624 QJU196612:QJV196624 QTQ196612:QTR196624 RDM196612:RDN196624 RNI196612:RNJ196624 RXE196612:RXF196624 SHA196612:SHB196624 SQW196612:SQX196624 TAS196612:TAT196624 TKO196612:TKP196624 TUK196612:TUL196624 UEG196612:UEH196624 UOC196612:UOD196624 UXY196612:UXZ196624 VHU196612:VHV196624 VRQ196612:VRR196624 WBM196612:WBN196624 WLI196612:WLJ196624 WVE196612:WVF196624 IS262148:IT262160 SO262148:SP262160 ACK262148:ACL262160 AMG262148:AMH262160 AWC262148:AWD262160 BFY262148:BFZ262160 BPU262148:BPV262160 BZQ262148:BZR262160 CJM262148:CJN262160 CTI262148:CTJ262160 DDE262148:DDF262160 DNA262148:DNB262160 DWW262148:DWX262160 EGS262148:EGT262160 EQO262148:EQP262160 FAK262148:FAL262160 FKG262148:FKH262160 FUC262148:FUD262160 GDY262148:GDZ262160 GNU262148:GNV262160 GXQ262148:GXR262160 HHM262148:HHN262160 HRI262148:HRJ262160 IBE262148:IBF262160 ILA262148:ILB262160 IUW262148:IUX262160 JES262148:JET262160 JOO262148:JOP262160 JYK262148:JYL262160 KIG262148:KIH262160 KSC262148:KSD262160 LBY262148:LBZ262160 LLU262148:LLV262160 LVQ262148:LVR262160 MFM262148:MFN262160 MPI262148:MPJ262160 MZE262148:MZF262160 NJA262148:NJB262160 NSW262148:NSX262160 OCS262148:OCT262160 OMO262148:OMP262160 OWK262148:OWL262160 PGG262148:PGH262160 PQC262148:PQD262160 PZY262148:PZZ262160 QJU262148:QJV262160 QTQ262148:QTR262160 RDM262148:RDN262160 RNI262148:RNJ262160 RXE262148:RXF262160 SHA262148:SHB262160 SQW262148:SQX262160 TAS262148:TAT262160 TKO262148:TKP262160 TUK262148:TUL262160 UEG262148:UEH262160 UOC262148:UOD262160 UXY262148:UXZ262160 VHU262148:VHV262160 VRQ262148:VRR262160 WBM262148:WBN262160 WLI262148:WLJ262160 WVE262148:WVF262160 IS327684:IT327696 SO327684:SP327696 ACK327684:ACL327696 AMG327684:AMH327696 AWC327684:AWD327696 BFY327684:BFZ327696 BPU327684:BPV327696 BZQ327684:BZR327696 CJM327684:CJN327696 CTI327684:CTJ327696 DDE327684:DDF327696 DNA327684:DNB327696 DWW327684:DWX327696 EGS327684:EGT327696 EQO327684:EQP327696 FAK327684:FAL327696 FKG327684:FKH327696 FUC327684:FUD327696 GDY327684:GDZ327696 GNU327684:GNV327696 GXQ327684:GXR327696 HHM327684:HHN327696 HRI327684:HRJ327696 IBE327684:IBF327696 ILA327684:ILB327696 IUW327684:IUX327696 JES327684:JET327696 JOO327684:JOP327696 JYK327684:JYL327696 KIG327684:KIH327696 KSC327684:KSD327696 LBY327684:LBZ327696 LLU327684:LLV327696 LVQ327684:LVR327696 MFM327684:MFN327696 MPI327684:MPJ327696 MZE327684:MZF327696 NJA327684:NJB327696 NSW327684:NSX327696 OCS327684:OCT327696 OMO327684:OMP327696 OWK327684:OWL327696 PGG327684:PGH327696 PQC327684:PQD327696 PZY327684:PZZ327696 QJU327684:QJV327696 QTQ327684:QTR327696 RDM327684:RDN327696 RNI327684:RNJ327696 RXE327684:RXF327696 SHA327684:SHB327696 SQW327684:SQX327696 TAS327684:TAT327696 TKO327684:TKP327696 TUK327684:TUL327696 UEG327684:UEH327696 UOC327684:UOD327696 UXY327684:UXZ327696 VHU327684:VHV327696 VRQ327684:VRR327696 WBM327684:WBN327696 WLI327684:WLJ327696 WVE327684:WVF327696 IS393220:IT393232 SO393220:SP393232 ACK393220:ACL393232 AMG393220:AMH393232 AWC393220:AWD393232 BFY393220:BFZ393232 BPU393220:BPV393232 BZQ393220:BZR393232 CJM393220:CJN393232 CTI393220:CTJ393232 DDE393220:DDF393232 DNA393220:DNB393232 DWW393220:DWX393232 EGS393220:EGT393232 EQO393220:EQP393232 FAK393220:FAL393232 FKG393220:FKH393232 FUC393220:FUD393232 GDY393220:GDZ393232 GNU393220:GNV393232 GXQ393220:GXR393232 HHM393220:HHN393232 HRI393220:HRJ393232 IBE393220:IBF393232 ILA393220:ILB393232 IUW393220:IUX393232 JES393220:JET393232 JOO393220:JOP393232 JYK393220:JYL393232 KIG393220:KIH393232 KSC393220:KSD393232 LBY393220:LBZ393232 LLU393220:LLV393232 LVQ393220:LVR393232 MFM393220:MFN393232 MPI393220:MPJ393232 MZE393220:MZF393232 NJA393220:NJB393232 NSW393220:NSX393232 OCS393220:OCT393232 OMO393220:OMP393232 OWK393220:OWL393232 PGG393220:PGH393232 PQC393220:PQD393232 PZY393220:PZZ393232 QJU393220:QJV393232 QTQ393220:QTR393232 RDM393220:RDN393232 RNI393220:RNJ393232 RXE393220:RXF393232 SHA393220:SHB393232 SQW393220:SQX393232 TAS393220:TAT393232 TKO393220:TKP393232 TUK393220:TUL393232 UEG393220:UEH393232 UOC393220:UOD393232 UXY393220:UXZ393232 VHU393220:VHV393232 VRQ393220:VRR393232 WBM393220:WBN393232 WLI393220:WLJ393232 WVE393220:WVF393232 IS458756:IT458768 SO458756:SP458768 ACK458756:ACL458768 AMG458756:AMH458768 AWC458756:AWD458768 BFY458756:BFZ458768 BPU458756:BPV458768 BZQ458756:BZR458768 CJM458756:CJN458768 CTI458756:CTJ458768 DDE458756:DDF458768 DNA458756:DNB458768 DWW458756:DWX458768 EGS458756:EGT458768 EQO458756:EQP458768 FAK458756:FAL458768 FKG458756:FKH458768 FUC458756:FUD458768 GDY458756:GDZ458768 GNU458756:GNV458768 GXQ458756:GXR458768 HHM458756:HHN458768 HRI458756:HRJ458768 IBE458756:IBF458768 ILA458756:ILB458768 IUW458756:IUX458768 JES458756:JET458768 JOO458756:JOP458768 JYK458756:JYL458768 KIG458756:KIH458768 KSC458756:KSD458768 LBY458756:LBZ458768 LLU458756:LLV458768 LVQ458756:LVR458768 MFM458756:MFN458768 MPI458756:MPJ458768 MZE458756:MZF458768 NJA458756:NJB458768 NSW458756:NSX458768 OCS458756:OCT458768 OMO458756:OMP458768 OWK458756:OWL458768 PGG458756:PGH458768 PQC458756:PQD458768 PZY458756:PZZ458768 QJU458756:QJV458768 QTQ458756:QTR458768 RDM458756:RDN458768 RNI458756:RNJ458768 RXE458756:RXF458768 SHA458756:SHB458768 SQW458756:SQX458768 TAS458756:TAT458768 TKO458756:TKP458768 TUK458756:TUL458768 UEG458756:UEH458768 UOC458756:UOD458768 UXY458756:UXZ458768 VHU458756:VHV458768 VRQ458756:VRR458768 WBM458756:WBN458768 WLI458756:WLJ458768 WVE458756:WVF458768 IS524292:IT524304 SO524292:SP524304 ACK524292:ACL524304 AMG524292:AMH524304 AWC524292:AWD524304 BFY524292:BFZ524304 BPU524292:BPV524304 BZQ524292:BZR524304 CJM524292:CJN524304 CTI524292:CTJ524304 DDE524292:DDF524304 DNA524292:DNB524304 DWW524292:DWX524304 EGS524292:EGT524304 EQO524292:EQP524304 FAK524292:FAL524304 FKG524292:FKH524304 FUC524292:FUD524304 GDY524292:GDZ524304 GNU524292:GNV524304 GXQ524292:GXR524304 HHM524292:HHN524304 HRI524292:HRJ524304 IBE524292:IBF524304 ILA524292:ILB524304 IUW524292:IUX524304 JES524292:JET524304 JOO524292:JOP524304 JYK524292:JYL524304 KIG524292:KIH524304 KSC524292:KSD524304 LBY524292:LBZ524304 LLU524292:LLV524304 LVQ524292:LVR524304 MFM524292:MFN524304 MPI524292:MPJ524304 MZE524292:MZF524304 NJA524292:NJB524304 NSW524292:NSX524304 OCS524292:OCT524304 OMO524292:OMP524304 OWK524292:OWL524304 PGG524292:PGH524304 PQC524292:PQD524304 PZY524292:PZZ524304 QJU524292:QJV524304 QTQ524292:QTR524304 RDM524292:RDN524304 RNI524292:RNJ524304 RXE524292:RXF524304 SHA524292:SHB524304 SQW524292:SQX524304 TAS524292:TAT524304 TKO524292:TKP524304 TUK524292:TUL524304 UEG524292:UEH524304 UOC524292:UOD524304 UXY524292:UXZ524304 VHU524292:VHV524304 VRQ524292:VRR524304 WBM524292:WBN524304 WLI524292:WLJ524304 WVE524292:WVF524304 IS589828:IT589840 SO589828:SP589840 ACK589828:ACL589840 AMG589828:AMH589840 AWC589828:AWD589840 BFY589828:BFZ589840 BPU589828:BPV589840 BZQ589828:BZR589840 CJM589828:CJN589840 CTI589828:CTJ589840 DDE589828:DDF589840 DNA589828:DNB589840 DWW589828:DWX589840 EGS589828:EGT589840 EQO589828:EQP589840 FAK589828:FAL589840 FKG589828:FKH589840 FUC589828:FUD589840 GDY589828:GDZ589840 GNU589828:GNV589840 GXQ589828:GXR589840 HHM589828:HHN589840 HRI589828:HRJ589840 IBE589828:IBF589840 ILA589828:ILB589840 IUW589828:IUX589840 JES589828:JET589840 JOO589828:JOP589840 JYK589828:JYL589840 KIG589828:KIH589840 KSC589828:KSD589840 LBY589828:LBZ589840 LLU589828:LLV589840 LVQ589828:LVR589840 MFM589828:MFN589840 MPI589828:MPJ589840 MZE589828:MZF589840 NJA589828:NJB589840 NSW589828:NSX589840 OCS589828:OCT589840 OMO589828:OMP589840 OWK589828:OWL589840 PGG589828:PGH589840 PQC589828:PQD589840 PZY589828:PZZ589840 QJU589828:QJV589840 QTQ589828:QTR589840 RDM589828:RDN589840 RNI589828:RNJ589840 RXE589828:RXF589840 SHA589828:SHB589840 SQW589828:SQX589840 TAS589828:TAT589840 TKO589828:TKP589840 TUK589828:TUL589840 UEG589828:UEH589840 UOC589828:UOD589840 UXY589828:UXZ589840 VHU589828:VHV589840 VRQ589828:VRR589840 WBM589828:WBN589840 WLI589828:WLJ589840 WVE589828:WVF589840 IS655364:IT655376 SO655364:SP655376 ACK655364:ACL655376 AMG655364:AMH655376 AWC655364:AWD655376 BFY655364:BFZ655376 BPU655364:BPV655376 BZQ655364:BZR655376 CJM655364:CJN655376 CTI655364:CTJ655376 DDE655364:DDF655376 DNA655364:DNB655376 DWW655364:DWX655376 EGS655364:EGT655376 EQO655364:EQP655376 FAK655364:FAL655376 FKG655364:FKH655376 FUC655364:FUD655376 GDY655364:GDZ655376 GNU655364:GNV655376 GXQ655364:GXR655376 HHM655364:HHN655376 HRI655364:HRJ655376 IBE655364:IBF655376 ILA655364:ILB655376 IUW655364:IUX655376 JES655364:JET655376 JOO655364:JOP655376 JYK655364:JYL655376 KIG655364:KIH655376 KSC655364:KSD655376 LBY655364:LBZ655376 LLU655364:LLV655376 LVQ655364:LVR655376 MFM655364:MFN655376 MPI655364:MPJ655376 MZE655364:MZF655376 NJA655364:NJB655376 NSW655364:NSX655376 OCS655364:OCT655376 OMO655364:OMP655376 OWK655364:OWL655376 PGG655364:PGH655376 PQC655364:PQD655376 PZY655364:PZZ655376 QJU655364:QJV655376 QTQ655364:QTR655376 RDM655364:RDN655376 RNI655364:RNJ655376 RXE655364:RXF655376 SHA655364:SHB655376 SQW655364:SQX655376 TAS655364:TAT655376 TKO655364:TKP655376 TUK655364:TUL655376 UEG655364:UEH655376 UOC655364:UOD655376 UXY655364:UXZ655376 VHU655364:VHV655376 VRQ655364:VRR655376 WBM655364:WBN655376 WLI655364:WLJ655376 WVE655364:WVF655376 IS720900:IT720912 SO720900:SP720912 ACK720900:ACL720912 AMG720900:AMH720912 AWC720900:AWD720912 BFY720900:BFZ720912 BPU720900:BPV720912 BZQ720900:BZR720912 CJM720900:CJN720912 CTI720900:CTJ720912 DDE720900:DDF720912 DNA720900:DNB720912 DWW720900:DWX720912 EGS720900:EGT720912 EQO720900:EQP720912 FAK720900:FAL720912 FKG720900:FKH720912 FUC720900:FUD720912 GDY720900:GDZ720912 GNU720900:GNV720912 GXQ720900:GXR720912 HHM720900:HHN720912 HRI720900:HRJ720912 IBE720900:IBF720912 ILA720900:ILB720912 IUW720900:IUX720912 JES720900:JET720912 JOO720900:JOP720912 JYK720900:JYL720912 KIG720900:KIH720912 KSC720900:KSD720912 LBY720900:LBZ720912 LLU720900:LLV720912 LVQ720900:LVR720912 MFM720900:MFN720912 MPI720900:MPJ720912 MZE720900:MZF720912 NJA720900:NJB720912 NSW720900:NSX720912 OCS720900:OCT720912 OMO720900:OMP720912 OWK720900:OWL720912 PGG720900:PGH720912 PQC720900:PQD720912 PZY720900:PZZ720912 QJU720900:QJV720912 QTQ720900:QTR720912 RDM720900:RDN720912 RNI720900:RNJ720912 RXE720900:RXF720912 SHA720900:SHB720912 SQW720900:SQX720912 TAS720900:TAT720912 TKO720900:TKP720912 TUK720900:TUL720912 UEG720900:UEH720912 UOC720900:UOD720912 UXY720900:UXZ720912 VHU720900:VHV720912 VRQ720900:VRR720912 WBM720900:WBN720912 WLI720900:WLJ720912 WVE720900:WVF720912 IS786436:IT786448 SO786436:SP786448 ACK786436:ACL786448 AMG786436:AMH786448 AWC786436:AWD786448 BFY786436:BFZ786448 BPU786436:BPV786448 BZQ786436:BZR786448 CJM786436:CJN786448 CTI786436:CTJ786448 DDE786436:DDF786448 DNA786436:DNB786448 DWW786436:DWX786448 EGS786436:EGT786448 EQO786436:EQP786448 FAK786436:FAL786448 FKG786436:FKH786448 FUC786436:FUD786448 GDY786436:GDZ786448 GNU786436:GNV786448 GXQ786436:GXR786448 HHM786436:HHN786448 HRI786436:HRJ786448 IBE786436:IBF786448 ILA786436:ILB786448 IUW786436:IUX786448 JES786436:JET786448 JOO786436:JOP786448 JYK786436:JYL786448 KIG786436:KIH786448 KSC786436:KSD786448 LBY786436:LBZ786448 LLU786436:LLV786448 LVQ786436:LVR786448 MFM786436:MFN786448 MPI786436:MPJ786448 MZE786436:MZF786448 NJA786436:NJB786448 NSW786436:NSX786448 OCS786436:OCT786448 OMO786436:OMP786448 OWK786436:OWL786448 PGG786436:PGH786448 PQC786436:PQD786448 PZY786436:PZZ786448 QJU786436:QJV786448 QTQ786436:QTR786448 RDM786436:RDN786448 RNI786436:RNJ786448 RXE786436:RXF786448 SHA786436:SHB786448 SQW786436:SQX786448 TAS786436:TAT786448 TKO786436:TKP786448 TUK786436:TUL786448 UEG786436:UEH786448 UOC786436:UOD786448 UXY786436:UXZ786448 VHU786436:VHV786448 VRQ786436:VRR786448 WBM786436:WBN786448 WLI786436:WLJ786448 WVE786436:WVF786448 IS851972:IT851984 SO851972:SP851984 ACK851972:ACL851984 AMG851972:AMH851984 AWC851972:AWD851984 BFY851972:BFZ851984 BPU851972:BPV851984 BZQ851972:BZR851984 CJM851972:CJN851984 CTI851972:CTJ851984 DDE851972:DDF851984 DNA851972:DNB851984 DWW851972:DWX851984 EGS851972:EGT851984 EQO851972:EQP851984 FAK851972:FAL851984 FKG851972:FKH851984 FUC851972:FUD851984 GDY851972:GDZ851984 GNU851972:GNV851984 GXQ851972:GXR851984 HHM851972:HHN851984 HRI851972:HRJ851984 IBE851972:IBF851984 ILA851972:ILB851984 IUW851972:IUX851984 JES851972:JET851984 JOO851972:JOP851984 JYK851972:JYL851984 KIG851972:KIH851984 KSC851972:KSD851984 LBY851972:LBZ851984 LLU851972:LLV851984 LVQ851972:LVR851984 MFM851972:MFN851984 MPI851972:MPJ851984 MZE851972:MZF851984 NJA851972:NJB851984 NSW851972:NSX851984 OCS851972:OCT851984 OMO851972:OMP851984 OWK851972:OWL851984 PGG851972:PGH851984 PQC851972:PQD851984 PZY851972:PZZ851984 QJU851972:QJV851984 QTQ851972:QTR851984 RDM851972:RDN851984 RNI851972:RNJ851984 RXE851972:RXF851984 SHA851972:SHB851984 SQW851972:SQX851984 TAS851972:TAT851984 TKO851972:TKP851984 TUK851972:TUL851984 UEG851972:UEH851984 UOC851972:UOD851984 UXY851972:UXZ851984 VHU851972:VHV851984 VRQ851972:VRR851984 WBM851972:WBN851984 WLI851972:WLJ851984 WVE851972:WVF851984 IS917508:IT917520 SO917508:SP917520 ACK917508:ACL917520 AMG917508:AMH917520 AWC917508:AWD917520 BFY917508:BFZ917520 BPU917508:BPV917520 BZQ917508:BZR917520 CJM917508:CJN917520 CTI917508:CTJ917520 DDE917508:DDF917520 DNA917508:DNB917520 DWW917508:DWX917520 EGS917508:EGT917520 EQO917508:EQP917520 FAK917508:FAL917520 FKG917508:FKH917520 FUC917508:FUD917520 GDY917508:GDZ917520 GNU917508:GNV917520 GXQ917508:GXR917520 HHM917508:HHN917520 HRI917508:HRJ917520 IBE917508:IBF917520 ILA917508:ILB917520 IUW917508:IUX917520 JES917508:JET917520 JOO917508:JOP917520 JYK917508:JYL917520 KIG917508:KIH917520 KSC917508:KSD917520 LBY917508:LBZ917520 LLU917508:LLV917520 LVQ917508:LVR917520 MFM917508:MFN917520 MPI917508:MPJ917520 MZE917508:MZF917520 NJA917508:NJB917520 NSW917508:NSX917520 OCS917508:OCT917520 OMO917508:OMP917520 OWK917508:OWL917520 PGG917508:PGH917520 PQC917508:PQD917520 PZY917508:PZZ917520 QJU917508:QJV917520 QTQ917508:QTR917520 RDM917508:RDN917520 RNI917508:RNJ917520 RXE917508:RXF917520 SHA917508:SHB917520 SQW917508:SQX917520 TAS917508:TAT917520 TKO917508:TKP917520 TUK917508:TUL917520 UEG917508:UEH917520 UOC917508:UOD917520 UXY917508:UXZ917520 VHU917508:VHV917520 VRQ917508:VRR917520 WBM917508:WBN917520 WLI917508:WLJ917520 WVE917508:WVF917520 IS983044:IT983056 SO983044:SP983056 ACK983044:ACL983056 AMG983044:AMH983056 AWC983044:AWD983056 BFY983044:BFZ983056 BPU983044:BPV983056 BZQ983044:BZR983056 CJM983044:CJN983056 CTI983044:CTJ983056 DDE983044:DDF983056 DNA983044:DNB983056 DWW983044:DWX983056 EGS983044:EGT983056 EQO983044:EQP983056 FAK983044:FAL983056 FKG983044:FKH983056 FUC983044:FUD983056 GDY983044:GDZ983056 GNU983044:GNV983056 GXQ983044:GXR983056 HHM983044:HHN983056 HRI983044:HRJ983056 IBE983044:IBF983056 ILA983044:ILB983056 IUW983044:IUX983056 JES983044:JET983056 JOO983044:JOP983056 JYK983044:JYL983056 KIG983044:KIH983056 KSC983044:KSD983056 LBY983044:LBZ983056 LLU983044:LLV983056 LVQ983044:LVR983056 MFM983044:MFN983056 MPI983044:MPJ983056 MZE983044:MZF983056 NJA983044:NJB983056 NSW983044:NSX983056 OCS983044:OCT983056 OMO983044:OMP983056 OWK983044:OWL983056 PGG983044:PGH983056 PQC983044:PQD983056 PZY983044:PZZ983056 QJU983044:QJV983056 QTQ983044:QTR983056 RDM983044:RDN983056 RNI983044:RNJ983056 RXE983044:RXF983056 SHA983044:SHB983056 SQW983044:SQX983056 TAS983044:TAT983056 TKO983044:TKP983056 TUK983044:TUL983056 UEG983044:UEH983056 UOC983044:UOD983056 UXY983044:UXZ983056 VHU983044:VHV983056 VRQ983044:VRR983056 WBM983044:WBN983056 WLI983044:WLJ983056">
      <formula1>공제목록</formula1>
    </dataValidation>
  </dataValidations>
  <printOptions horizontalCentered="1" verticalCentered="1"/>
  <pageMargins left="0.39370078740157483" right="0.39370078740157483" top="0.74803149606299213" bottom="0.39370078740157483" header="0.43307086614173229" footer="0.31496062992125984"/>
  <pageSetup paperSize="9" scale="7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2"/>
  <sheetViews>
    <sheetView showGridLines="0" showZeros="0" view="pageBreakPreview" zoomScaleNormal="100" zoomScaleSheetLayoutView="100" workbookViewId="0">
      <selection activeCell="U5" sqref="U5:W5"/>
    </sheetView>
  </sheetViews>
  <sheetFormatPr defaultRowHeight="12"/>
  <cols>
    <col min="1" max="1" width="5.33203125" style="4" customWidth="1"/>
    <col min="2" max="2" width="4" style="4" customWidth="1"/>
    <col min="3" max="5" width="6.33203125" style="4" customWidth="1"/>
    <col min="6" max="7" width="4.109375" style="4" customWidth="1"/>
    <col min="8" max="8" width="7.44140625" style="4" customWidth="1"/>
    <col min="9" max="10" width="6.33203125" style="4" customWidth="1"/>
    <col min="11" max="12" width="4.88671875" style="4" customWidth="1"/>
    <col min="13" max="14" width="4.5546875" style="4" customWidth="1"/>
    <col min="15" max="15" width="6.33203125" style="4" customWidth="1"/>
    <col min="16" max="16" width="4.109375" style="4" customWidth="1"/>
    <col min="17" max="17" width="2.88671875" style="4" customWidth="1"/>
    <col min="18" max="19" width="6.33203125" style="4" customWidth="1"/>
    <col min="20" max="21" width="4.33203125" style="4" customWidth="1"/>
    <col min="22" max="23" width="4.44140625" style="4" customWidth="1"/>
    <col min="24" max="24" width="6.33203125" style="4" customWidth="1"/>
    <col min="25" max="26" width="4.5546875" style="4" customWidth="1"/>
    <col min="27" max="27" width="6.33203125" style="4" customWidth="1"/>
    <col min="28" max="28" width="5.21875" style="4" customWidth="1"/>
    <col min="29" max="29" width="14.33203125" style="4" customWidth="1"/>
    <col min="30" max="16384" width="8.88671875" style="4"/>
  </cols>
  <sheetData>
    <row r="1" spans="1:29" ht="17.25" customHeight="1">
      <c r="A1" s="648" t="s">
        <v>367</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row>
    <row r="2" spans="1:29" ht="37.5" customHeight="1" thickBot="1">
      <c r="A2" s="649" t="s">
        <v>398</v>
      </c>
      <c r="B2" s="649"/>
      <c r="C2" s="649"/>
      <c r="D2" s="649"/>
      <c r="E2" s="649"/>
      <c r="F2" s="649"/>
      <c r="G2" s="649"/>
      <c r="H2" s="649"/>
      <c r="I2" s="649"/>
      <c r="J2" s="649"/>
      <c r="K2" s="649"/>
      <c r="L2" s="649"/>
      <c r="M2" s="649"/>
      <c r="N2" s="649"/>
      <c r="O2" s="649"/>
      <c r="P2" s="649"/>
      <c r="Q2" s="649"/>
      <c r="R2" s="649"/>
      <c r="S2" s="649"/>
      <c r="T2" s="649"/>
      <c r="U2" s="649"/>
      <c r="V2" s="649"/>
      <c r="W2" s="701" t="s">
        <v>405</v>
      </c>
      <c r="X2" s="701"/>
      <c r="Y2" s="701"/>
      <c r="Z2" s="701"/>
      <c r="AA2" s="499"/>
    </row>
    <row r="3" spans="1:29" ht="21.75" customHeight="1" thickTop="1">
      <c r="A3" s="650" t="s">
        <v>368</v>
      </c>
      <c r="B3" s="651"/>
      <c r="C3" s="652" t="s">
        <v>369</v>
      </c>
      <c r="D3" s="651"/>
      <c r="E3" s="652" t="s">
        <v>370</v>
      </c>
      <c r="F3" s="651"/>
      <c r="G3" s="652" t="s">
        <v>371</v>
      </c>
      <c r="H3" s="651"/>
      <c r="I3" s="652" t="s">
        <v>372</v>
      </c>
      <c r="J3" s="653"/>
      <c r="K3" s="651"/>
      <c r="L3" s="652" t="s">
        <v>400</v>
      </c>
      <c r="M3" s="653"/>
      <c r="N3" s="653"/>
      <c r="O3" s="653"/>
      <c r="P3" s="653"/>
      <c r="Q3" s="653"/>
      <c r="R3" s="653"/>
      <c r="S3" s="653"/>
      <c r="T3" s="651"/>
      <c r="U3" s="652" t="s">
        <v>399</v>
      </c>
      <c r="V3" s="653"/>
      <c r="W3" s="653"/>
      <c r="X3" s="653"/>
      <c r="Y3" s="653"/>
      <c r="Z3" s="653"/>
      <c r="AA3" s="654"/>
      <c r="AC3" s="4" t="str">
        <f>IFERROR(IF(A4="","",INDEX(주민등록번호,MATCH(A4,명부,0))),0)</f>
        <v>950327-2140000</v>
      </c>
    </row>
    <row r="4" spans="1:29" ht="21.75" customHeight="1">
      <c r="A4" s="665" t="s">
        <v>426</v>
      </c>
      <c r="B4" s="666"/>
      <c r="C4" s="669" t="str">
        <f>LEFT(AC3,2)&amp;"."&amp;MID(AC3,3,2)&amp;"."&amp;MID(AC3,5,2)</f>
        <v>95.03.27</v>
      </c>
      <c r="D4" s="670"/>
      <c r="E4" s="673" t="s">
        <v>373</v>
      </c>
      <c r="F4" s="666"/>
      <c r="G4" s="669">
        <f>IFERROR(IF(A4="","",INDEX(최초임용일,MATCH(A4,명부,0))),0)</f>
        <v>41701</v>
      </c>
      <c r="H4" s="670"/>
      <c r="I4" s="673" t="str">
        <f>IFERROR(IF(A4="","",INDEX(직종,MATCH(A4,명부,0))),0)</f>
        <v>돌봄전담사</v>
      </c>
      <c r="J4" s="675"/>
      <c r="K4" s="666"/>
      <c r="L4" s="655" t="s">
        <v>374</v>
      </c>
      <c r="M4" s="657"/>
      <c r="N4" s="655" t="s">
        <v>375</v>
      </c>
      <c r="O4" s="656"/>
      <c r="P4" s="657"/>
      <c r="Q4" s="655" t="s">
        <v>376</v>
      </c>
      <c r="R4" s="656"/>
      <c r="S4" s="656"/>
      <c r="T4" s="657"/>
      <c r="U4" s="655" t="s">
        <v>377</v>
      </c>
      <c r="V4" s="656"/>
      <c r="W4" s="657"/>
      <c r="X4" s="655" t="s">
        <v>378</v>
      </c>
      <c r="Y4" s="657"/>
      <c r="Z4" s="655" t="s">
        <v>379</v>
      </c>
      <c r="AA4" s="658"/>
    </row>
    <row r="5" spans="1:29" ht="21.75" customHeight="1" thickBot="1">
      <c r="A5" s="667"/>
      <c r="B5" s="668"/>
      <c r="C5" s="671"/>
      <c r="D5" s="672"/>
      <c r="E5" s="674"/>
      <c r="F5" s="668"/>
      <c r="G5" s="671"/>
      <c r="H5" s="672"/>
      <c r="I5" s="674"/>
      <c r="J5" s="676"/>
      <c r="K5" s="668"/>
      <c r="L5" s="659"/>
      <c r="M5" s="660"/>
      <c r="N5" s="659"/>
      <c r="O5" s="661"/>
      <c r="P5" s="660"/>
      <c r="Q5" s="662">
        <f>IFERROR(IF(A4="","",INDEX(기본급,MATCH(A4,명부,0))),0)</f>
        <v>920000</v>
      </c>
      <c r="R5" s="663"/>
      <c r="S5" s="663"/>
      <c r="T5" s="664"/>
      <c r="U5" s="659" t="str">
        <f>IFERROR(IF(A4="","",INDEX(가족수,MATCH(A4,명부,0))),0)</f>
        <v>배우자 1명, 직계존속 1명</v>
      </c>
      <c r="V5" s="661"/>
      <c r="W5" s="661"/>
      <c r="X5" s="659"/>
      <c r="Y5" s="660"/>
      <c r="Z5" s="677"/>
      <c r="AA5" s="678"/>
    </row>
    <row r="6" spans="1:29" ht="21.75" customHeight="1" thickTop="1">
      <c r="A6" s="500" t="s">
        <v>380</v>
      </c>
      <c r="B6" s="679" t="s">
        <v>382</v>
      </c>
      <c r="C6" s="679" t="s">
        <v>395</v>
      </c>
      <c r="D6" s="679" t="s">
        <v>319</v>
      </c>
      <c r="E6" s="679" t="s">
        <v>320</v>
      </c>
      <c r="F6" s="682" t="s">
        <v>321</v>
      </c>
      <c r="G6" s="683"/>
      <c r="H6" s="679" t="s">
        <v>383</v>
      </c>
      <c r="I6" s="688" t="s">
        <v>384</v>
      </c>
      <c r="J6" s="689"/>
      <c r="K6" s="689"/>
      <c r="L6" s="689"/>
      <c r="M6" s="689"/>
      <c r="N6" s="689"/>
      <c r="O6" s="689"/>
      <c r="P6" s="689"/>
      <c r="Q6" s="690"/>
      <c r="R6" s="679" t="s">
        <v>385</v>
      </c>
      <c r="S6" s="688" t="s">
        <v>386</v>
      </c>
      <c r="T6" s="689"/>
      <c r="U6" s="690"/>
      <c r="V6" s="682" t="s">
        <v>387</v>
      </c>
      <c r="W6" s="683"/>
      <c r="X6" s="679" t="s">
        <v>388</v>
      </c>
      <c r="Y6" s="682" t="s">
        <v>389</v>
      </c>
      <c r="Z6" s="683"/>
      <c r="AA6" s="691" t="s">
        <v>390</v>
      </c>
    </row>
    <row r="7" spans="1:29" ht="21.75" customHeight="1">
      <c r="A7" s="501" t="s">
        <v>373</v>
      </c>
      <c r="B7" s="680"/>
      <c r="C7" s="680"/>
      <c r="D7" s="680"/>
      <c r="E7" s="680"/>
      <c r="F7" s="684"/>
      <c r="G7" s="685"/>
      <c r="H7" s="680"/>
      <c r="I7" s="694" t="s">
        <v>396</v>
      </c>
      <c r="J7" s="694" t="s">
        <v>309</v>
      </c>
      <c r="K7" s="695" t="s">
        <v>310</v>
      </c>
      <c r="L7" s="696"/>
      <c r="M7" s="695" t="s">
        <v>311</v>
      </c>
      <c r="N7" s="696"/>
      <c r="O7" s="694" t="s">
        <v>373</v>
      </c>
      <c r="P7" s="695" t="s">
        <v>373</v>
      </c>
      <c r="Q7" s="696"/>
      <c r="R7" s="680"/>
      <c r="S7" s="655" t="s">
        <v>391</v>
      </c>
      <c r="T7" s="656"/>
      <c r="U7" s="657"/>
      <c r="V7" s="684"/>
      <c r="W7" s="685"/>
      <c r="X7" s="680"/>
      <c r="Y7" s="684"/>
      <c r="Z7" s="685"/>
      <c r="AA7" s="692"/>
    </row>
    <row r="8" spans="1:29" ht="21.75" customHeight="1">
      <c r="A8" s="502" t="s">
        <v>381</v>
      </c>
      <c r="B8" s="681"/>
      <c r="C8" s="681"/>
      <c r="D8" s="681"/>
      <c r="E8" s="681"/>
      <c r="F8" s="686"/>
      <c r="G8" s="687"/>
      <c r="H8" s="681"/>
      <c r="I8" s="681"/>
      <c r="J8" s="681"/>
      <c r="K8" s="686"/>
      <c r="L8" s="687"/>
      <c r="M8" s="686"/>
      <c r="N8" s="687"/>
      <c r="O8" s="681"/>
      <c r="P8" s="686"/>
      <c r="Q8" s="687"/>
      <c r="R8" s="681"/>
      <c r="S8" s="503" t="s">
        <v>392</v>
      </c>
      <c r="T8" s="655" t="s">
        <v>393</v>
      </c>
      <c r="U8" s="657"/>
      <c r="V8" s="686"/>
      <c r="W8" s="687"/>
      <c r="X8" s="681"/>
      <c r="Y8" s="686"/>
      <c r="Z8" s="687"/>
      <c r="AA8" s="693"/>
    </row>
    <row r="9" spans="1:29" ht="21.75" customHeight="1">
      <c r="A9" s="509">
        <v>1</v>
      </c>
      <c r="B9" s="507"/>
      <c r="C9" s="507"/>
      <c r="D9" s="507"/>
      <c r="E9" s="507"/>
      <c r="F9" s="697"/>
      <c r="G9" s="698"/>
      <c r="H9" s="507"/>
      <c r="I9" s="507"/>
      <c r="J9" s="507"/>
      <c r="K9" s="697"/>
      <c r="L9" s="698"/>
      <c r="M9" s="697"/>
      <c r="N9" s="698"/>
      <c r="O9" s="507"/>
      <c r="P9" s="697"/>
      <c r="Q9" s="698"/>
      <c r="R9" s="507"/>
      <c r="S9" s="507"/>
      <c r="T9" s="697"/>
      <c r="U9" s="698"/>
      <c r="V9" s="697"/>
      <c r="W9" s="698"/>
      <c r="X9" s="507"/>
      <c r="Y9" s="697"/>
      <c r="Z9" s="698"/>
      <c r="AA9" s="504"/>
    </row>
    <row r="10" spans="1:29" ht="21.75" customHeight="1">
      <c r="A10" s="509">
        <v>2</v>
      </c>
      <c r="B10" s="507"/>
      <c r="C10" s="507"/>
      <c r="D10" s="507"/>
      <c r="E10" s="507"/>
      <c r="F10" s="697"/>
      <c r="G10" s="698"/>
      <c r="H10" s="507"/>
      <c r="I10" s="507"/>
      <c r="J10" s="507"/>
      <c r="K10" s="697"/>
      <c r="L10" s="698"/>
      <c r="M10" s="697"/>
      <c r="N10" s="698"/>
      <c r="O10" s="507"/>
      <c r="P10" s="697"/>
      <c r="Q10" s="698"/>
      <c r="R10" s="507"/>
      <c r="S10" s="507"/>
      <c r="T10" s="697"/>
      <c r="U10" s="698"/>
      <c r="V10" s="697"/>
      <c r="W10" s="698"/>
      <c r="X10" s="507"/>
      <c r="Y10" s="697"/>
      <c r="Z10" s="698"/>
      <c r="AA10" s="504"/>
    </row>
    <row r="11" spans="1:29" ht="21.75" customHeight="1">
      <c r="A11" s="509">
        <v>3</v>
      </c>
      <c r="B11" s="507"/>
      <c r="C11" s="507"/>
      <c r="D11" s="507"/>
      <c r="E11" s="507"/>
      <c r="F11" s="697"/>
      <c r="G11" s="698"/>
      <c r="H11" s="507"/>
      <c r="I11" s="507"/>
      <c r="J11" s="507"/>
      <c r="K11" s="697"/>
      <c r="L11" s="698"/>
      <c r="M11" s="697"/>
      <c r="N11" s="698"/>
      <c r="O11" s="507"/>
      <c r="P11" s="697"/>
      <c r="Q11" s="698"/>
      <c r="R11" s="507"/>
      <c r="S11" s="507"/>
      <c r="T11" s="697"/>
      <c r="U11" s="698"/>
      <c r="V11" s="697"/>
      <c r="W11" s="698"/>
      <c r="X11" s="507"/>
      <c r="Y11" s="697"/>
      <c r="Z11" s="698"/>
      <c r="AA11" s="504"/>
    </row>
    <row r="12" spans="1:29" ht="21.75" customHeight="1">
      <c r="A12" s="509">
        <v>4</v>
      </c>
      <c r="B12" s="507"/>
      <c r="C12" s="507"/>
      <c r="D12" s="507"/>
      <c r="E12" s="507"/>
      <c r="F12" s="697"/>
      <c r="G12" s="698"/>
      <c r="H12" s="507"/>
      <c r="I12" s="507"/>
      <c r="J12" s="507"/>
      <c r="K12" s="697"/>
      <c r="L12" s="698"/>
      <c r="M12" s="697"/>
      <c r="N12" s="698"/>
      <c r="O12" s="507"/>
      <c r="P12" s="697"/>
      <c r="Q12" s="698"/>
      <c r="R12" s="507"/>
      <c r="S12" s="507"/>
      <c r="T12" s="697"/>
      <c r="U12" s="698"/>
      <c r="V12" s="697"/>
      <c r="W12" s="698"/>
      <c r="X12" s="507"/>
      <c r="Y12" s="697"/>
      <c r="Z12" s="698"/>
      <c r="AA12" s="504"/>
    </row>
    <row r="13" spans="1:29" ht="21.75" customHeight="1">
      <c r="A13" s="509">
        <v>5</v>
      </c>
      <c r="B13" s="507"/>
      <c r="C13" s="507"/>
      <c r="D13" s="507"/>
      <c r="E13" s="507"/>
      <c r="F13" s="697"/>
      <c r="G13" s="698"/>
      <c r="H13" s="507"/>
      <c r="I13" s="507"/>
      <c r="J13" s="507"/>
      <c r="K13" s="697"/>
      <c r="L13" s="698"/>
      <c r="M13" s="697"/>
      <c r="N13" s="698"/>
      <c r="O13" s="507"/>
      <c r="P13" s="697"/>
      <c r="Q13" s="698"/>
      <c r="R13" s="507"/>
      <c r="S13" s="507"/>
      <c r="T13" s="697"/>
      <c r="U13" s="698"/>
      <c r="V13" s="697"/>
      <c r="W13" s="698"/>
      <c r="X13" s="507"/>
      <c r="Y13" s="697"/>
      <c r="Z13" s="698"/>
      <c r="AA13" s="504"/>
    </row>
    <row r="14" spans="1:29" ht="21.75" customHeight="1">
      <c r="A14" s="509">
        <v>6</v>
      </c>
      <c r="B14" s="507"/>
      <c r="C14" s="507"/>
      <c r="D14" s="507"/>
      <c r="E14" s="507"/>
      <c r="F14" s="697"/>
      <c r="G14" s="698"/>
      <c r="H14" s="507"/>
      <c r="I14" s="507"/>
      <c r="J14" s="507"/>
      <c r="K14" s="697"/>
      <c r="L14" s="698"/>
      <c r="M14" s="697"/>
      <c r="N14" s="698"/>
      <c r="O14" s="507"/>
      <c r="P14" s="697"/>
      <c r="Q14" s="698"/>
      <c r="R14" s="507"/>
      <c r="S14" s="507"/>
      <c r="T14" s="697"/>
      <c r="U14" s="698"/>
      <c r="V14" s="697"/>
      <c r="W14" s="698"/>
      <c r="X14" s="507"/>
      <c r="Y14" s="697"/>
      <c r="Z14" s="698"/>
      <c r="AA14" s="504"/>
    </row>
    <row r="15" spans="1:29" ht="21.75" customHeight="1">
      <c r="A15" s="509">
        <v>7</v>
      </c>
      <c r="B15" s="507"/>
      <c r="C15" s="507"/>
      <c r="D15" s="507"/>
      <c r="E15" s="507"/>
      <c r="F15" s="697"/>
      <c r="G15" s="698"/>
      <c r="H15" s="507"/>
      <c r="I15" s="507"/>
      <c r="J15" s="507"/>
      <c r="K15" s="697"/>
      <c r="L15" s="698"/>
      <c r="M15" s="697"/>
      <c r="N15" s="698"/>
      <c r="O15" s="507"/>
      <c r="P15" s="697"/>
      <c r="Q15" s="698"/>
      <c r="R15" s="507"/>
      <c r="S15" s="507"/>
      <c r="T15" s="697"/>
      <c r="U15" s="698"/>
      <c r="V15" s="697"/>
      <c r="W15" s="698"/>
      <c r="X15" s="507"/>
      <c r="Y15" s="697"/>
      <c r="Z15" s="698"/>
      <c r="AA15" s="504"/>
    </row>
    <row r="16" spans="1:29" ht="21.75" customHeight="1">
      <c r="A16" s="509">
        <v>8</v>
      </c>
      <c r="B16" s="507"/>
      <c r="C16" s="507"/>
      <c r="D16" s="507"/>
      <c r="E16" s="507"/>
      <c r="F16" s="697"/>
      <c r="G16" s="698"/>
      <c r="H16" s="507"/>
      <c r="I16" s="507"/>
      <c r="J16" s="507"/>
      <c r="K16" s="697"/>
      <c r="L16" s="698"/>
      <c r="M16" s="697"/>
      <c r="N16" s="698"/>
      <c r="O16" s="507"/>
      <c r="P16" s="697"/>
      <c r="Q16" s="698"/>
      <c r="R16" s="507"/>
      <c r="S16" s="507"/>
      <c r="T16" s="697"/>
      <c r="U16" s="698"/>
      <c r="V16" s="697"/>
      <c r="W16" s="698"/>
      <c r="X16" s="507"/>
      <c r="Y16" s="697"/>
      <c r="Z16" s="698"/>
      <c r="AA16" s="504"/>
    </row>
    <row r="17" spans="1:27" ht="21.75" customHeight="1">
      <c r="A17" s="509">
        <v>9</v>
      </c>
      <c r="B17" s="507"/>
      <c r="C17" s="507"/>
      <c r="D17" s="507"/>
      <c r="E17" s="507"/>
      <c r="F17" s="697"/>
      <c r="G17" s="698"/>
      <c r="H17" s="507"/>
      <c r="I17" s="507"/>
      <c r="J17" s="507"/>
      <c r="K17" s="697"/>
      <c r="L17" s="698"/>
      <c r="M17" s="697"/>
      <c r="N17" s="698"/>
      <c r="O17" s="507"/>
      <c r="P17" s="697"/>
      <c r="Q17" s="698"/>
      <c r="R17" s="507"/>
      <c r="S17" s="507"/>
      <c r="T17" s="697"/>
      <c r="U17" s="698"/>
      <c r="V17" s="697"/>
      <c r="W17" s="698"/>
      <c r="X17" s="507"/>
      <c r="Y17" s="697"/>
      <c r="Z17" s="698"/>
      <c r="AA17" s="504"/>
    </row>
    <row r="18" spans="1:27" ht="21.75" customHeight="1">
      <c r="A18" s="509">
        <v>10</v>
      </c>
      <c r="B18" s="507"/>
      <c r="C18" s="507"/>
      <c r="D18" s="507"/>
      <c r="E18" s="507"/>
      <c r="F18" s="697"/>
      <c r="G18" s="698"/>
      <c r="H18" s="507"/>
      <c r="I18" s="507"/>
      <c r="J18" s="507"/>
      <c r="K18" s="697"/>
      <c r="L18" s="698"/>
      <c r="M18" s="697"/>
      <c r="N18" s="698"/>
      <c r="O18" s="507"/>
      <c r="P18" s="697"/>
      <c r="Q18" s="698"/>
      <c r="R18" s="507"/>
      <c r="S18" s="507"/>
      <c r="T18" s="697"/>
      <c r="U18" s="698"/>
      <c r="V18" s="697"/>
      <c r="W18" s="698"/>
      <c r="X18" s="507"/>
      <c r="Y18" s="697"/>
      <c r="Z18" s="698"/>
      <c r="AA18" s="504"/>
    </row>
    <row r="19" spans="1:27" ht="21.75" customHeight="1">
      <c r="A19" s="509">
        <v>11</v>
      </c>
      <c r="B19" s="507"/>
      <c r="C19" s="507"/>
      <c r="D19" s="507"/>
      <c r="E19" s="507"/>
      <c r="F19" s="697"/>
      <c r="G19" s="698"/>
      <c r="H19" s="507"/>
      <c r="I19" s="507"/>
      <c r="J19" s="507"/>
      <c r="K19" s="697"/>
      <c r="L19" s="698"/>
      <c r="M19" s="697"/>
      <c r="N19" s="698"/>
      <c r="O19" s="507"/>
      <c r="P19" s="697"/>
      <c r="Q19" s="698"/>
      <c r="R19" s="507"/>
      <c r="S19" s="507"/>
      <c r="T19" s="697"/>
      <c r="U19" s="698"/>
      <c r="V19" s="697"/>
      <c r="W19" s="698"/>
      <c r="X19" s="507"/>
      <c r="Y19" s="697"/>
      <c r="Z19" s="698"/>
      <c r="AA19" s="504"/>
    </row>
    <row r="20" spans="1:27" ht="21.75" customHeight="1">
      <c r="A20" s="509">
        <v>12</v>
      </c>
      <c r="B20" s="507"/>
      <c r="C20" s="507"/>
      <c r="D20" s="507"/>
      <c r="E20" s="507"/>
      <c r="F20" s="697"/>
      <c r="G20" s="698"/>
      <c r="H20" s="507"/>
      <c r="I20" s="507"/>
      <c r="J20" s="507"/>
      <c r="K20" s="697"/>
      <c r="L20" s="698"/>
      <c r="M20" s="697"/>
      <c r="N20" s="698"/>
      <c r="O20" s="507"/>
      <c r="P20" s="697"/>
      <c r="Q20" s="698"/>
      <c r="R20" s="507"/>
      <c r="S20" s="507"/>
      <c r="T20" s="697"/>
      <c r="U20" s="698"/>
      <c r="V20" s="697"/>
      <c r="W20" s="698"/>
      <c r="X20" s="507"/>
      <c r="Y20" s="697"/>
      <c r="Z20" s="698"/>
      <c r="AA20" s="504"/>
    </row>
    <row r="21" spans="1:27" ht="21.75" customHeight="1" thickBot="1">
      <c r="A21" s="506" t="s">
        <v>397</v>
      </c>
      <c r="B21" s="508">
        <f>SUM(B9:B20)</f>
        <v>0</v>
      </c>
      <c r="C21" s="508">
        <f>SUM(C9:C20)</f>
        <v>0</v>
      </c>
      <c r="D21" s="508">
        <f>SUM(D9:D20)</f>
        <v>0</v>
      </c>
      <c r="E21" s="508">
        <f>SUM(E9:E20)</f>
        <v>0</v>
      </c>
      <c r="F21" s="699">
        <v>0</v>
      </c>
      <c r="G21" s="700"/>
      <c r="H21" s="508">
        <f>SUM(H9:H20)</f>
        <v>0</v>
      </c>
      <c r="I21" s="508">
        <f>SUM(I9:I20)</f>
        <v>0</v>
      </c>
      <c r="J21" s="508">
        <f>SUM(J9:J20)</f>
        <v>0</v>
      </c>
      <c r="K21" s="699">
        <v>0</v>
      </c>
      <c r="L21" s="700"/>
      <c r="M21" s="699">
        <v>0</v>
      </c>
      <c r="N21" s="700"/>
      <c r="O21" s="508">
        <f>SUM(O9:O20)</f>
        <v>0</v>
      </c>
      <c r="P21" s="699">
        <v>0</v>
      </c>
      <c r="Q21" s="700"/>
      <c r="R21" s="508">
        <f>SUM(R9:R20)</f>
        <v>0</v>
      </c>
      <c r="S21" s="508" t="s">
        <v>373</v>
      </c>
      <c r="T21" s="699">
        <v>0</v>
      </c>
      <c r="U21" s="700"/>
      <c r="V21" s="699">
        <v>0</v>
      </c>
      <c r="W21" s="700"/>
      <c r="X21" s="508">
        <f>SUM(X9:X20)</f>
        <v>0</v>
      </c>
      <c r="Y21" s="699">
        <v>0</v>
      </c>
      <c r="Z21" s="700"/>
      <c r="AA21" s="505" t="s">
        <v>373</v>
      </c>
    </row>
    <row r="22" spans="1:27" ht="12.75" customHeight="1" thickTop="1">
      <c r="A22" s="510"/>
      <c r="B22" s="510"/>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1" t="s">
        <v>394</v>
      </c>
    </row>
  </sheetData>
  <mergeCells count="139">
    <mergeCell ref="Y21:Z21"/>
    <mergeCell ref="C6:C8"/>
    <mergeCell ref="I7:I8"/>
    <mergeCell ref="W2:Z2"/>
    <mergeCell ref="U4:W4"/>
    <mergeCell ref="U5:W5"/>
    <mergeCell ref="X4:Y4"/>
    <mergeCell ref="F21:G21"/>
    <mergeCell ref="K21:L21"/>
    <mergeCell ref="M21:N21"/>
    <mergeCell ref="P21:Q21"/>
    <mergeCell ref="T21:U21"/>
    <mergeCell ref="V21:W21"/>
    <mergeCell ref="Y19:Z19"/>
    <mergeCell ref="F20:G20"/>
    <mergeCell ref="K20:L20"/>
    <mergeCell ref="M20:N20"/>
    <mergeCell ref="P20:Q20"/>
    <mergeCell ref="T20:U20"/>
    <mergeCell ref="V20:W20"/>
    <mergeCell ref="Y20:Z20"/>
    <mergeCell ref="F19:G19"/>
    <mergeCell ref="K19:L19"/>
    <mergeCell ref="M19:N19"/>
    <mergeCell ref="P19:Q19"/>
    <mergeCell ref="T19:U19"/>
    <mergeCell ref="V19:W19"/>
    <mergeCell ref="Y17:Z17"/>
    <mergeCell ref="F18:G18"/>
    <mergeCell ref="K18:L18"/>
    <mergeCell ref="M18:N18"/>
    <mergeCell ref="P18:Q18"/>
    <mergeCell ref="T18:U18"/>
    <mergeCell ref="V18:W18"/>
    <mergeCell ref="Y18:Z18"/>
    <mergeCell ref="F17:G17"/>
    <mergeCell ref="K17:L17"/>
    <mergeCell ref="M17:N17"/>
    <mergeCell ref="P17:Q17"/>
    <mergeCell ref="T17:U17"/>
    <mergeCell ref="V17:W17"/>
    <mergeCell ref="Y15:Z15"/>
    <mergeCell ref="F16:G16"/>
    <mergeCell ref="K16:L16"/>
    <mergeCell ref="M16:N16"/>
    <mergeCell ref="P16:Q16"/>
    <mergeCell ref="T16:U16"/>
    <mergeCell ref="V16:W16"/>
    <mergeCell ref="Y16:Z16"/>
    <mergeCell ref="F15:G15"/>
    <mergeCell ref="K15:L15"/>
    <mergeCell ref="M15:N15"/>
    <mergeCell ref="P15:Q15"/>
    <mergeCell ref="T15:U15"/>
    <mergeCell ref="V15:W15"/>
    <mergeCell ref="Y13:Z13"/>
    <mergeCell ref="F14:G14"/>
    <mergeCell ref="K14:L14"/>
    <mergeCell ref="M14:N14"/>
    <mergeCell ref="P14:Q14"/>
    <mergeCell ref="T14:U14"/>
    <mergeCell ref="V14:W14"/>
    <mergeCell ref="Y14:Z14"/>
    <mergeCell ref="F13:G13"/>
    <mergeCell ref="K13:L13"/>
    <mergeCell ref="M13:N13"/>
    <mergeCell ref="P13:Q13"/>
    <mergeCell ref="T13:U13"/>
    <mergeCell ref="V13:W13"/>
    <mergeCell ref="Y11:Z11"/>
    <mergeCell ref="F12:G12"/>
    <mergeCell ref="K12:L12"/>
    <mergeCell ref="M12:N12"/>
    <mergeCell ref="P12:Q12"/>
    <mergeCell ref="T12:U12"/>
    <mergeCell ref="V12:W12"/>
    <mergeCell ref="Y12:Z12"/>
    <mergeCell ref="F11:G11"/>
    <mergeCell ref="K11:L11"/>
    <mergeCell ref="M11:N11"/>
    <mergeCell ref="P11:Q11"/>
    <mergeCell ref="T11:U11"/>
    <mergeCell ref="V11:W11"/>
    <mergeCell ref="Y9:Z9"/>
    <mergeCell ref="F10:G10"/>
    <mergeCell ref="K10:L10"/>
    <mergeCell ref="M10:N10"/>
    <mergeCell ref="P10:Q10"/>
    <mergeCell ref="T10:U10"/>
    <mergeCell ref="V10:W10"/>
    <mergeCell ref="Y10:Z10"/>
    <mergeCell ref="F9:G9"/>
    <mergeCell ref="K9:L9"/>
    <mergeCell ref="M9:N9"/>
    <mergeCell ref="P9:Q9"/>
    <mergeCell ref="T9:U9"/>
    <mergeCell ref="V9:W9"/>
    <mergeCell ref="X6:X8"/>
    <mergeCell ref="Y6:Z8"/>
    <mergeCell ref="AA6:AA8"/>
    <mergeCell ref="J7:J8"/>
    <mergeCell ref="K7:L8"/>
    <mergeCell ref="M7:N8"/>
    <mergeCell ref="O7:O8"/>
    <mergeCell ref="P7:Q8"/>
    <mergeCell ref="S7:U7"/>
    <mergeCell ref="T8:U8"/>
    <mergeCell ref="B6:B8"/>
    <mergeCell ref="D6:D8"/>
    <mergeCell ref="E6:E8"/>
    <mergeCell ref="F6:G8"/>
    <mergeCell ref="H6:H8"/>
    <mergeCell ref="I6:Q6"/>
    <mergeCell ref="R6:R8"/>
    <mergeCell ref="S6:U6"/>
    <mergeCell ref="V6:W8"/>
    <mergeCell ref="N4:P4"/>
    <mergeCell ref="Q4:T4"/>
    <mergeCell ref="Z4:AA4"/>
    <mergeCell ref="L5:M5"/>
    <mergeCell ref="N5:P5"/>
    <mergeCell ref="Q5:T5"/>
    <mergeCell ref="A4:B5"/>
    <mergeCell ref="C4:D5"/>
    <mergeCell ref="E4:F5"/>
    <mergeCell ref="G4:H5"/>
    <mergeCell ref="I4:K5"/>
    <mergeCell ref="L4:M4"/>
    <mergeCell ref="Z5:AA5"/>
    <mergeCell ref="X5:Y5"/>
    <mergeCell ref="A1:AA1"/>
    <mergeCell ref="A2:V2"/>
    <mergeCell ref="A3:B3"/>
    <mergeCell ref="C3:D3"/>
    <mergeCell ref="E3:F3"/>
    <mergeCell ref="G3:H3"/>
    <mergeCell ref="I3:K3"/>
    <mergeCell ref="L3:T3"/>
    <mergeCell ref="U3:AA3"/>
  </mergeCells>
  <phoneticPr fontId="3" type="noConversion"/>
  <dataValidations count="1">
    <dataValidation type="list" allowBlank="1" showInputMessage="1" showErrorMessage="1" sqref="A4:B5">
      <formula1>명부</formula1>
    </dataValidation>
  </dataValidations>
  <printOptions horizontalCentered="1"/>
  <pageMargins left="0.86614173228346458" right="0.23622047244094491"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CI315"/>
  <sheetViews>
    <sheetView zoomScaleNormal="100" zoomScaleSheetLayoutView="85" workbookViewId="0">
      <pane xSplit="2" ySplit="2" topLeftCell="Y158" activePane="bottomRight" state="frozen"/>
      <selection activeCell="E51" sqref="E51"/>
      <selection pane="topRight" activeCell="E51" sqref="E51"/>
      <selection pane="bottomLeft" activeCell="E51" sqref="E51"/>
      <selection pane="bottomRight" activeCell="AA169" sqref="AA169"/>
    </sheetView>
  </sheetViews>
  <sheetFormatPr defaultRowHeight="13.5"/>
  <cols>
    <col min="1" max="1" width="4.21875" style="197" customWidth="1"/>
    <col min="2" max="2" width="7.88671875" style="197" customWidth="1"/>
    <col min="3" max="3" width="7.5546875" style="197" customWidth="1"/>
    <col min="4" max="4" width="10.44140625" style="197" customWidth="1"/>
    <col min="5" max="7" width="7.109375" style="197" customWidth="1"/>
    <col min="8" max="8" width="7.33203125" style="197" customWidth="1"/>
    <col min="9" max="10" width="9" style="197" customWidth="1"/>
    <col min="11" max="11" width="8.21875" style="197" customWidth="1"/>
    <col min="12" max="16" width="4.77734375" style="197" customWidth="1"/>
    <col min="17" max="19" width="4.88671875" style="197" customWidth="1"/>
    <col min="20" max="20" width="7.21875" style="197" customWidth="1"/>
    <col min="21" max="22" width="6.5546875" style="197" customWidth="1"/>
    <col min="23" max="23" width="6.88671875" style="197" customWidth="1"/>
    <col min="24" max="25" width="8.88671875" style="197" customWidth="1"/>
    <col min="26" max="26" width="12.88671875" style="197" customWidth="1"/>
    <col min="27" max="27" width="8.88671875" style="197" customWidth="1"/>
    <col min="28" max="28" width="5.44140625" style="197" customWidth="1"/>
    <col min="29" max="29" width="8.88671875" style="197" customWidth="1"/>
    <col min="30" max="30" width="4.6640625" style="197" customWidth="1"/>
    <col min="31" max="33" width="4.33203125" style="197" customWidth="1"/>
    <col min="34" max="34" width="9.77734375" style="197" customWidth="1"/>
    <col min="35" max="35" width="6.5546875" style="197" customWidth="1"/>
    <col min="36" max="36" width="11.109375" style="197" bestFit="1" customWidth="1"/>
    <col min="37" max="37" width="9.21875" style="197" bestFit="1" customWidth="1"/>
    <col min="38" max="38" width="9" style="197" bestFit="1" customWidth="1"/>
    <col min="39" max="40" width="9" style="197" customWidth="1"/>
    <col min="41" max="41" width="10.109375" style="197" bestFit="1" customWidth="1"/>
    <col min="42" max="48" width="9.21875" style="197" bestFit="1" customWidth="1"/>
    <col min="49" max="50" width="9" style="197" bestFit="1" customWidth="1"/>
    <col min="51" max="51" width="9.21875" style="197" bestFit="1" customWidth="1"/>
    <col min="52" max="52" width="9" style="197" bestFit="1" customWidth="1"/>
    <col min="53" max="53" width="9.77734375" style="197" customWidth="1"/>
    <col min="54" max="54" width="11.109375" style="197" bestFit="1" customWidth="1"/>
    <col min="55" max="56" width="11.109375" style="197" customWidth="1"/>
    <col min="57" max="57" width="9" style="197" bestFit="1" customWidth="1"/>
    <col min="58" max="59" width="9.21875" style="197" bestFit="1" customWidth="1"/>
    <col min="60" max="63" width="9" style="197" bestFit="1" customWidth="1"/>
    <col min="64" max="64" width="9.21875" style="197" bestFit="1" customWidth="1"/>
    <col min="65" max="65" width="9" style="197" bestFit="1" customWidth="1"/>
    <col min="66" max="68" width="7.33203125" style="197" customWidth="1"/>
    <col min="69" max="69" width="11.109375" style="197" bestFit="1" customWidth="1"/>
    <col min="70" max="70" width="10" style="197" customWidth="1"/>
    <col min="71" max="16384" width="8.88671875" style="197"/>
  </cols>
  <sheetData>
    <row r="1" spans="1:87" ht="27.75" customHeight="1" thickBot="1">
      <c r="A1" s="268" t="str">
        <f ca="1">REPLACE(CELL("filename",A1),1,FIND("]",CELL("filename",A1)),"")</f>
        <v>2021임금누적</v>
      </c>
      <c r="B1" s="269"/>
      <c r="C1" s="269"/>
      <c r="D1" s="270"/>
      <c r="E1" s="558"/>
      <c r="F1" s="560" t="s">
        <v>476</v>
      </c>
      <c r="G1" s="559"/>
      <c r="H1" s="559"/>
      <c r="I1" s="271"/>
      <c r="J1" s="271"/>
      <c r="K1" s="271"/>
      <c r="L1" s="272"/>
      <c r="M1" s="272"/>
      <c r="N1" s="272"/>
      <c r="O1" s="272"/>
      <c r="P1" s="272"/>
      <c r="Q1" s="272"/>
      <c r="R1" s="272"/>
      <c r="S1" s="272"/>
      <c r="T1" s="272"/>
      <c r="U1" s="272"/>
      <c r="AJ1" s="560" t="s">
        <v>476</v>
      </c>
      <c r="BC1" s="37" t="s">
        <v>11</v>
      </c>
      <c r="BD1" s="37" t="s">
        <v>12</v>
      </c>
      <c r="BE1" s="16" t="s">
        <v>406</v>
      </c>
      <c r="BF1" s="38"/>
      <c r="BG1" s="513">
        <v>4.4999999999999998E-2</v>
      </c>
      <c r="BH1" s="514">
        <v>3.4299999999999997E-2</v>
      </c>
      <c r="BI1" s="514">
        <v>5.7599999999999998E-2</v>
      </c>
      <c r="BJ1" s="41"/>
      <c r="BK1" s="515">
        <f>(1.6/2)%</f>
        <v>8.0000000000000002E-3</v>
      </c>
      <c r="BL1" s="515"/>
      <c r="BM1" s="4"/>
      <c r="BN1" s="43" t="s">
        <v>13</v>
      </c>
      <c r="BO1" s="4"/>
      <c r="BP1" s="4"/>
      <c r="BQ1" s="4"/>
      <c r="BR1" s="4"/>
      <c r="BS1" s="12" t="s">
        <v>14</v>
      </c>
      <c r="BT1" s="31" t="s">
        <v>15</v>
      </c>
      <c r="BW1" s="197" t="s">
        <v>407</v>
      </c>
    </row>
    <row r="2" spans="1:87" s="4" customFormat="1" ht="36" customHeight="1">
      <c r="A2" s="533" t="s">
        <v>17</v>
      </c>
      <c r="B2" s="534" t="s">
        <v>18</v>
      </c>
      <c r="C2" s="534" t="s">
        <v>19</v>
      </c>
      <c r="D2" s="534" t="s">
        <v>20</v>
      </c>
      <c r="E2" s="534" t="s">
        <v>21</v>
      </c>
      <c r="F2" s="535" t="s">
        <v>22</v>
      </c>
      <c r="G2" s="536" t="s">
        <v>23</v>
      </c>
      <c r="H2" s="534" t="s">
        <v>338</v>
      </c>
      <c r="I2" s="534" t="s">
        <v>24</v>
      </c>
      <c r="J2" s="537" t="s">
        <v>25</v>
      </c>
      <c r="K2" s="646" t="s">
        <v>26</v>
      </c>
      <c r="L2" s="647"/>
      <c r="M2" s="647"/>
      <c r="N2" s="646" t="s">
        <v>27</v>
      </c>
      <c r="O2" s="647"/>
      <c r="P2" s="647"/>
      <c r="Q2" s="647" t="s">
        <v>28</v>
      </c>
      <c r="R2" s="647"/>
      <c r="S2" s="647"/>
      <c r="T2" s="646" t="s">
        <v>339</v>
      </c>
      <c r="U2" s="647"/>
      <c r="V2" s="647"/>
      <c r="W2" s="536" t="s">
        <v>29</v>
      </c>
      <c r="X2" s="536" t="s">
        <v>30</v>
      </c>
      <c r="Y2" s="536" t="s">
        <v>31</v>
      </c>
      <c r="Z2" s="535" t="s">
        <v>32</v>
      </c>
      <c r="AA2" s="535" t="s">
        <v>33</v>
      </c>
      <c r="AB2" s="536" t="s">
        <v>34</v>
      </c>
      <c r="AC2" s="538" t="s">
        <v>35</v>
      </c>
      <c r="AD2" s="536" t="s">
        <v>23</v>
      </c>
      <c r="AE2" s="539" t="s">
        <v>37</v>
      </c>
      <c r="AF2" s="539" t="s">
        <v>38</v>
      </c>
      <c r="AG2" s="536" t="s">
        <v>39</v>
      </c>
      <c r="AH2" s="536" t="s">
        <v>40</v>
      </c>
      <c r="AI2" s="536" t="s">
        <v>41</v>
      </c>
      <c r="AJ2" s="540" t="s">
        <v>42</v>
      </c>
      <c r="AK2" s="536" t="s">
        <v>43</v>
      </c>
      <c r="AL2" s="536" t="s">
        <v>44</v>
      </c>
      <c r="AM2" s="536" t="s">
        <v>45</v>
      </c>
      <c r="AN2" s="536" t="s">
        <v>46</v>
      </c>
      <c r="AO2" s="536" t="s">
        <v>47</v>
      </c>
      <c r="AP2" s="536" t="s">
        <v>48</v>
      </c>
      <c r="AQ2" s="536" t="s">
        <v>49</v>
      </c>
      <c r="AR2" s="541" t="s">
        <v>50</v>
      </c>
      <c r="AS2" s="536" t="s">
        <v>51</v>
      </c>
      <c r="AT2" s="536" t="s">
        <v>52</v>
      </c>
      <c r="AU2" s="541" t="s">
        <v>344</v>
      </c>
      <c r="AV2" s="541" t="s">
        <v>364</v>
      </c>
      <c r="AW2" s="536" t="s">
        <v>53</v>
      </c>
      <c r="AX2" s="536" t="s">
        <v>54</v>
      </c>
      <c r="AY2" s="536" t="s">
        <v>55</v>
      </c>
      <c r="AZ2" s="536" t="s">
        <v>56</v>
      </c>
      <c r="BA2" s="536" t="s">
        <v>57</v>
      </c>
      <c r="BB2" s="536" t="s">
        <v>58</v>
      </c>
      <c r="BC2" s="542" t="s">
        <v>59</v>
      </c>
      <c r="BD2" s="542" t="s">
        <v>60</v>
      </c>
      <c r="BE2" s="536" t="s">
        <v>61</v>
      </c>
      <c r="BF2" s="536" t="s">
        <v>366</v>
      </c>
      <c r="BG2" s="543" t="s">
        <v>62</v>
      </c>
      <c r="BH2" s="543" t="s">
        <v>63</v>
      </c>
      <c r="BI2" s="544" t="s">
        <v>365</v>
      </c>
      <c r="BJ2" s="544" t="s">
        <v>349</v>
      </c>
      <c r="BK2" s="543" t="s">
        <v>64</v>
      </c>
      <c r="BL2" s="543" t="s">
        <v>351</v>
      </c>
      <c r="BM2" s="536" t="s">
        <v>65</v>
      </c>
      <c r="BN2" s="536" t="s">
        <v>350</v>
      </c>
      <c r="BO2" s="536" t="s">
        <v>66</v>
      </c>
      <c r="BP2" s="536" t="s">
        <v>67</v>
      </c>
      <c r="BQ2" s="536" t="s">
        <v>68</v>
      </c>
      <c r="BR2" s="545" t="s">
        <v>69</v>
      </c>
      <c r="BS2" s="542" t="s">
        <v>70</v>
      </c>
      <c r="BT2" s="542" t="s">
        <v>71</v>
      </c>
      <c r="BU2" s="546" t="s">
        <v>72</v>
      </c>
      <c r="BV2" s="62"/>
      <c r="BW2" s="63" t="s">
        <v>73</v>
      </c>
      <c r="BX2" s="63" t="s">
        <v>74</v>
      </c>
      <c r="BY2" s="60" t="s">
        <v>75</v>
      </c>
      <c r="BZ2" s="60" t="s">
        <v>76</v>
      </c>
      <c r="CA2" s="59" t="s">
        <v>77</v>
      </c>
      <c r="CB2" s="64" t="s">
        <v>78</v>
      </c>
      <c r="CC2" s="64" t="s">
        <v>79</v>
      </c>
      <c r="CD2" s="64" t="s">
        <v>80</v>
      </c>
      <c r="CE2" s="64" t="s">
        <v>81</v>
      </c>
      <c r="CF2" s="469" t="s">
        <v>82</v>
      </c>
      <c r="CG2" s="65" t="s">
        <v>83</v>
      </c>
      <c r="CH2" s="66" t="s">
        <v>84</v>
      </c>
      <c r="CI2" s="67" t="s">
        <v>85</v>
      </c>
    </row>
    <row r="3" spans="1:87" s="105" customFormat="1" ht="15.95" customHeight="1">
      <c r="A3" s="516">
        <v>1</v>
      </c>
      <c r="B3" s="517"/>
      <c r="C3" s="517"/>
      <c r="D3" s="518"/>
      <c r="E3" s="519"/>
      <c r="F3" s="520" t="s">
        <v>203</v>
      </c>
      <c r="G3" s="517">
        <v>366</v>
      </c>
      <c r="H3" s="517" t="s">
        <v>204</v>
      </c>
      <c r="I3" s="521">
        <v>37135</v>
      </c>
      <c r="J3" s="521">
        <v>38047</v>
      </c>
      <c r="K3" s="522">
        <v>16</v>
      </c>
      <c r="L3" s="523">
        <v>0</v>
      </c>
      <c r="M3" s="524">
        <v>0</v>
      </c>
      <c r="N3" s="522">
        <v>18</v>
      </c>
      <c r="O3" s="523">
        <v>0</v>
      </c>
      <c r="P3" s="524">
        <v>1</v>
      </c>
      <c r="Q3" s="522"/>
      <c r="R3" s="523"/>
      <c r="S3" s="524"/>
      <c r="T3" s="525">
        <v>18</v>
      </c>
      <c r="U3" s="523">
        <v>0</v>
      </c>
      <c r="V3" s="524">
        <v>1</v>
      </c>
      <c r="W3" s="526"/>
      <c r="X3" s="521">
        <v>39356</v>
      </c>
      <c r="Y3" s="521" t="s">
        <v>205</v>
      </c>
      <c r="Z3" s="527"/>
      <c r="AA3" s="528">
        <v>48638</v>
      </c>
      <c r="AB3" s="528" t="s">
        <v>206</v>
      </c>
      <c r="AC3" s="528">
        <v>1772270</v>
      </c>
      <c r="AD3" s="529"/>
      <c r="AE3" s="529"/>
      <c r="AF3" s="529">
        <v>31</v>
      </c>
      <c r="AG3" s="529">
        <v>31</v>
      </c>
      <c r="AH3" s="529"/>
      <c r="AI3" s="530">
        <v>27.5</v>
      </c>
      <c r="AJ3" s="529">
        <v>1253310</v>
      </c>
      <c r="AK3" s="529"/>
      <c r="AL3" s="529"/>
      <c r="AM3" s="529"/>
      <c r="AN3" s="529"/>
      <c r="AO3" s="529"/>
      <c r="AP3" s="529"/>
      <c r="AQ3" s="530"/>
      <c r="AR3" s="529"/>
      <c r="AS3" s="529"/>
      <c r="AT3" s="529"/>
      <c r="AU3" s="529"/>
      <c r="AV3" s="529">
        <v>89370</v>
      </c>
      <c r="AW3" s="529"/>
      <c r="AX3" s="529"/>
      <c r="AY3" s="529"/>
      <c r="AZ3" s="531"/>
      <c r="BA3" s="531"/>
      <c r="BB3" s="529">
        <f>SUM(AJ3:AZ3)</f>
        <v>1342680</v>
      </c>
      <c r="BC3" s="529"/>
      <c r="BD3" s="529"/>
      <c r="BE3" s="529"/>
      <c r="BF3" s="528"/>
      <c r="BG3" s="532"/>
      <c r="BH3" s="532">
        <v>42920</v>
      </c>
      <c r="BI3" s="532">
        <v>4940</v>
      </c>
      <c r="BJ3" s="532"/>
      <c r="BK3" s="532">
        <v>10010</v>
      </c>
      <c r="BL3" s="528"/>
      <c r="BM3" s="528"/>
      <c r="BN3" s="528"/>
      <c r="BO3" s="529"/>
      <c r="BP3" s="529"/>
      <c r="BQ3" s="529">
        <f>SUM(BE3:BP3)</f>
        <v>57870</v>
      </c>
      <c r="BR3" s="529">
        <f>BB3-BQ3</f>
        <v>1284810</v>
      </c>
    </row>
    <row r="4" spans="1:87" s="105" customFormat="1" ht="15.95" customHeight="1">
      <c r="A4" s="266">
        <v>1</v>
      </c>
      <c r="B4" s="69" t="s">
        <v>483</v>
      </c>
      <c r="C4" s="69"/>
      <c r="D4" s="274"/>
      <c r="E4" s="275"/>
      <c r="F4" s="72" t="s">
        <v>203</v>
      </c>
      <c r="G4" s="69">
        <v>366</v>
      </c>
      <c r="H4" s="69" t="s">
        <v>204</v>
      </c>
      <c r="I4" s="74">
        <v>37681</v>
      </c>
      <c r="J4" s="74">
        <v>38047</v>
      </c>
      <c r="K4" s="81">
        <v>16</v>
      </c>
      <c r="L4" s="82">
        <v>0</v>
      </c>
      <c r="M4" s="83">
        <v>0</v>
      </c>
      <c r="N4" s="81">
        <v>16</v>
      </c>
      <c r="O4" s="82">
        <v>6</v>
      </c>
      <c r="P4" s="83">
        <v>1</v>
      </c>
      <c r="Q4" s="81"/>
      <c r="R4" s="82"/>
      <c r="S4" s="83"/>
      <c r="T4" s="84">
        <v>16</v>
      </c>
      <c r="U4" s="82">
        <v>6</v>
      </c>
      <c r="V4" s="83">
        <v>1</v>
      </c>
      <c r="W4" s="106"/>
      <c r="X4" s="74">
        <v>39356</v>
      </c>
      <c r="Y4" s="74" t="s">
        <v>205</v>
      </c>
      <c r="Z4" s="87"/>
      <c r="AA4" s="73">
        <v>52290</v>
      </c>
      <c r="AB4" s="73" t="s">
        <v>206</v>
      </c>
      <c r="AC4" s="73">
        <v>1772270</v>
      </c>
      <c r="AD4" s="91"/>
      <c r="AE4" s="91"/>
      <c r="AF4" s="91">
        <v>31</v>
      </c>
      <c r="AG4" s="91">
        <v>31</v>
      </c>
      <c r="AH4" s="91"/>
      <c r="AI4" s="276">
        <v>20</v>
      </c>
      <c r="AJ4" s="91">
        <v>911500</v>
      </c>
      <c r="AK4" s="91"/>
      <c r="AL4" s="91"/>
      <c r="AM4" s="91"/>
      <c r="AN4" s="91"/>
      <c r="AO4" s="91">
        <v>35000</v>
      </c>
      <c r="AP4" s="91"/>
      <c r="AQ4" s="276"/>
      <c r="AR4" s="91">
        <v>20000</v>
      </c>
      <c r="AS4" s="91">
        <v>30000</v>
      </c>
      <c r="AT4" s="91"/>
      <c r="AU4" s="91"/>
      <c r="AV4" s="91">
        <v>65000</v>
      </c>
      <c r="AW4" s="91">
        <v>225000</v>
      </c>
      <c r="AX4" s="91"/>
      <c r="AY4" s="91"/>
      <c r="AZ4" s="277"/>
      <c r="BA4" s="277"/>
      <c r="BB4" s="91">
        <f t="shared" ref="BB4:BB68" si="0">SUM(AJ4:AZ4)</f>
        <v>1286500</v>
      </c>
      <c r="BC4" s="91"/>
      <c r="BD4" s="91"/>
      <c r="BE4" s="91"/>
      <c r="BF4" s="73"/>
      <c r="BG4" s="278">
        <v>44910</v>
      </c>
      <c r="BH4" s="278">
        <v>34710</v>
      </c>
      <c r="BI4" s="278">
        <v>3990</v>
      </c>
      <c r="BJ4" s="278"/>
      <c r="BK4" s="278">
        <v>8090</v>
      </c>
      <c r="BL4" s="73"/>
      <c r="BM4" s="73"/>
      <c r="BN4" s="73"/>
      <c r="BO4" s="91"/>
      <c r="BP4" s="91"/>
      <c r="BQ4" s="91">
        <f t="shared" ref="BQ4:BQ68" si="1">SUM(BE4:BP4)</f>
        <v>91700</v>
      </c>
      <c r="BR4" s="91">
        <f t="shared" ref="BR4:BR68" si="2">BB4-BQ4</f>
        <v>1194800</v>
      </c>
    </row>
    <row r="5" spans="1:87" s="105" customFormat="1" ht="15.95" customHeight="1">
      <c r="A5" s="266">
        <v>1</v>
      </c>
      <c r="B5" s="69" t="s">
        <v>484</v>
      </c>
      <c r="C5" s="69"/>
      <c r="D5" s="274"/>
      <c r="E5" s="275"/>
      <c r="F5" s="72" t="s">
        <v>207</v>
      </c>
      <c r="G5" s="69">
        <v>285</v>
      </c>
      <c r="H5" s="69" t="s">
        <v>204</v>
      </c>
      <c r="I5" s="74">
        <v>40603</v>
      </c>
      <c r="J5" s="74">
        <v>40603</v>
      </c>
      <c r="K5" s="81">
        <v>9</v>
      </c>
      <c r="L5" s="82">
        <v>0</v>
      </c>
      <c r="M5" s="83">
        <v>0</v>
      </c>
      <c r="N5" s="81">
        <v>8</v>
      </c>
      <c r="O5" s="82">
        <v>6</v>
      </c>
      <c r="P5" s="83">
        <v>1</v>
      </c>
      <c r="Q5" s="81">
        <v>7</v>
      </c>
      <c r="R5" s="82"/>
      <c r="S5" s="83"/>
      <c r="T5" s="84">
        <v>15</v>
      </c>
      <c r="U5" s="82">
        <v>6</v>
      </c>
      <c r="V5" s="83">
        <v>1</v>
      </c>
      <c r="W5" s="106"/>
      <c r="X5" s="74">
        <v>41334</v>
      </c>
      <c r="Y5" s="74" t="s">
        <v>205</v>
      </c>
      <c r="Z5" s="87"/>
      <c r="AA5" s="73">
        <v>45716</v>
      </c>
      <c r="AB5" s="73" t="s">
        <v>206</v>
      </c>
      <c r="AC5" s="73">
        <v>1772270</v>
      </c>
      <c r="AD5" s="91"/>
      <c r="AE5" s="91"/>
      <c r="AF5" s="91">
        <v>31</v>
      </c>
      <c r="AG5" s="91">
        <v>31</v>
      </c>
      <c r="AH5" s="91"/>
      <c r="AI5" s="276">
        <v>25</v>
      </c>
      <c r="AJ5" s="91">
        <v>1139370</v>
      </c>
      <c r="AK5" s="91"/>
      <c r="AL5" s="91"/>
      <c r="AM5" s="91"/>
      <c r="AN5" s="91"/>
      <c r="AO5" s="91">
        <v>240620</v>
      </c>
      <c r="AP5" s="91"/>
      <c r="AQ5" s="276"/>
      <c r="AR5" s="91">
        <v>15000</v>
      </c>
      <c r="AS5" s="91">
        <v>37500</v>
      </c>
      <c r="AT5" s="91"/>
      <c r="AU5" s="91"/>
      <c r="AV5" s="91">
        <v>81250</v>
      </c>
      <c r="AW5" s="91">
        <v>281250</v>
      </c>
      <c r="AX5" s="91"/>
      <c r="AY5" s="91"/>
      <c r="AZ5" s="277"/>
      <c r="BA5" s="277"/>
      <c r="BB5" s="91">
        <f t="shared" si="0"/>
        <v>1794990</v>
      </c>
      <c r="BC5" s="91"/>
      <c r="BD5" s="91"/>
      <c r="BE5" s="91"/>
      <c r="BF5" s="73"/>
      <c r="BG5" s="278">
        <v>67140</v>
      </c>
      <c r="BH5" s="278">
        <v>51880</v>
      </c>
      <c r="BI5" s="278">
        <v>5970</v>
      </c>
      <c r="BJ5" s="278"/>
      <c r="BK5" s="278">
        <v>12100</v>
      </c>
      <c r="BL5" s="73"/>
      <c r="BM5" s="73"/>
      <c r="BN5" s="73"/>
      <c r="BO5" s="91"/>
      <c r="BP5" s="91"/>
      <c r="BQ5" s="91">
        <f t="shared" si="1"/>
        <v>137090</v>
      </c>
      <c r="BR5" s="91">
        <f t="shared" si="2"/>
        <v>1657900</v>
      </c>
    </row>
    <row r="6" spans="1:87" s="105" customFormat="1" ht="15.95" customHeight="1">
      <c r="A6" s="266">
        <v>1</v>
      </c>
      <c r="B6" s="69" t="s">
        <v>428</v>
      </c>
      <c r="C6" s="69"/>
      <c r="D6" s="274"/>
      <c r="E6" s="275"/>
      <c r="F6" s="72" t="s">
        <v>207</v>
      </c>
      <c r="G6" s="69">
        <v>293</v>
      </c>
      <c r="H6" s="69" t="s">
        <v>204</v>
      </c>
      <c r="I6" s="74">
        <v>34029</v>
      </c>
      <c r="J6" s="74">
        <v>38047</v>
      </c>
      <c r="K6" s="81">
        <v>16</v>
      </c>
      <c r="L6" s="82">
        <v>0</v>
      </c>
      <c r="M6" s="83">
        <v>0</v>
      </c>
      <c r="N6" s="81">
        <v>26</v>
      </c>
      <c r="O6" s="82">
        <v>6</v>
      </c>
      <c r="P6" s="83">
        <v>1</v>
      </c>
      <c r="Q6" s="81"/>
      <c r="R6" s="82"/>
      <c r="S6" s="83"/>
      <c r="T6" s="84">
        <v>26</v>
      </c>
      <c r="U6" s="82">
        <v>6</v>
      </c>
      <c r="V6" s="83">
        <v>1</v>
      </c>
      <c r="W6" s="106"/>
      <c r="X6" s="74">
        <v>39356</v>
      </c>
      <c r="Y6" s="74" t="s">
        <v>205</v>
      </c>
      <c r="Z6" s="87"/>
      <c r="AA6" s="73">
        <v>45535</v>
      </c>
      <c r="AB6" s="73" t="s">
        <v>206</v>
      </c>
      <c r="AC6" s="73">
        <v>1772270</v>
      </c>
      <c r="AD6" s="91"/>
      <c r="AE6" s="91"/>
      <c r="AF6" s="91">
        <v>8</v>
      </c>
      <c r="AG6" s="91">
        <v>31</v>
      </c>
      <c r="AH6" s="91"/>
      <c r="AI6" s="276">
        <v>40</v>
      </c>
      <c r="AJ6" s="91">
        <v>705670</v>
      </c>
      <c r="AK6" s="91"/>
      <c r="AL6" s="91"/>
      <c r="AM6" s="91"/>
      <c r="AN6" s="91"/>
      <c r="AO6" s="91">
        <v>350000</v>
      </c>
      <c r="AP6" s="91"/>
      <c r="AQ6" s="276"/>
      <c r="AR6" s="91"/>
      <c r="AS6" s="91">
        <v>220000</v>
      </c>
      <c r="AT6" s="91"/>
      <c r="AU6" s="91">
        <v>19350</v>
      </c>
      <c r="AV6" s="91">
        <v>50320</v>
      </c>
      <c r="AW6" s="91">
        <v>450000</v>
      </c>
      <c r="AX6" s="91"/>
      <c r="AY6" s="91"/>
      <c r="AZ6" s="277"/>
      <c r="BA6" s="277"/>
      <c r="BB6" s="91">
        <f t="shared" si="0"/>
        <v>1795340</v>
      </c>
      <c r="BC6" s="91"/>
      <c r="BD6" s="91"/>
      <c r="BE6" s="91"/>
      <c r="BF6" s="73"/>
      <c r="BG6" s="278">
        <v>99310</v>
      </c>
      <c r="BH6" s="278">
        <v>76760</v>
      </c>
      <c r="BI6" s="278">
        <v>8840</v>
      </c>
      <c r="BJ6" s="278"/>
      <c r="BK6" s="278">
        <v>17900</v>
      </c>
      <c r="BL6" s="73"/>
      <c r="BM6" s="73">
        <v>240000</v>
      </c>
      <c r="BN6" s="73"/>
      <c r="BO6" s="91"/>
      <c r="BP6" s="91"/>
      <c r="BQ6" s="91">
        <f t="shared" si="1"/>
        <v>442810</v>
      </c>
      <c r="BR6" s="91">
        <f t="shared" si="2"/>
        <v>1352530</v>
      </c>
    </row>
    <row r="7" spans="1:87" s="105" customFormat="1" ht="15.95" customHeight="1">
      <c r="A7" s="266">
        <v>1</v>
      </c>
      <c r="B7" s="69" t="s">
        <v>429</v>
      </c>
      <c r="C7" s="69"/>
      <c r="D7" s="274"/>
      <c r="E7" s="275"/>
      <c r="F7" s="72" t="s">
        <v>207</v>
      </c>
      <c r="G7" s="69">
        <v>300</v>
      </c>
      <c r="H7" s="69" t="s">
        <v>204</v>
      </c>
      <c r="I7" s="74">
        <v>38412</v>
      </c>
      <c r="J7" s="74">
        <v>38412</v>
      </c>
      <c r="K7" s="81">
        <v>15</v>
      </c>
      <c r="L7" s="82">
        <v>0</v>
      </c>
      <c r="M7" s="83">
        <v>0</v>
      </c>
      <c r="N7" s="81">
        <v>14</v>
      </c>
      <c r="O7" s="82">
        <v>6</v>
      </c>
      <c r="P7" s="83">
        <v>1</v>
      </c>
      <c r="Q7" s="81">
        <v>3</v>
      </c>
      <c r="R7" s="82"/>
      <c r="S7" s="83"/>
      <c r="T7" s="84">
        <v>17</v>
      </c>
      <c r="U7" s="82">
        <v>6</v>
      </c>
      <c r="V7" s="83">
        <v>1</v>
      </c>
      <c r="W7" s="106"/>
      <c r="X7" s="74">
        <v>39356</v>
      </c>
      <c r="Y7" s="74" t="s">
        <v>205</v>
      </c>
      <c r="Z7" s="87"/>
      <c r="AA7" s="73">
        <v>47726</v>
      </c>
      <c r="AB7" s="73" t="s">
        <v>206</v>
      </c>
      <c r="AC7" s="73">
        <v>1772270</v>
      </c>
      <c r="AD7" s="91"/>
      <c r="AE7" s="91"/>
      <c r="AF7" s="91">
        <v>8</v>
      </c>
      <c r="AG7" s="91">
        <v>31</v>
      </c>
      <c r="AH7" s="91"/>
      <c r="AI7" s="276">
        <v>40</v>
      </c>
      <c r="AJ7" s="91">
        <v>705670</v>
      </c>
      <c r="AK7" s="91"/>
      <c r="AL7" s="91"/>
      <c r="AM7" s="91"/>
      <c r="AN7" s="91"/>
      <c r="AO7" s="91">
        <v>700000</v>
      </c>
      <c r="AP7" s="91"/>
      <c r="AQ7" s="276"/>
      <c r="AR7" s="91"/>
      <c r="AS7" s="91">
        <v>40000</v>
      </c>
      <c r="AT7" s="91"/>
      <c r="AU7" s="91">
        <v>19350</v>
      </c>
      <c r="AV7" s="91">
        <v>50320</v>
      </c>
      <c r="AW7" s="91">
        <v>450000</v>
      </c>
      <c r="AX7" s="91"/>
      <c r="AY7" s="91"/>
      <c r="AZ7" s="277"/>
      <c r="BA7" s="277"/>
      <c r="BB7" s="91">
        <f t="shared" si="0"/>
        <v>1965340</v>
      </c>
      <c r="BC7" s="91"/>
      <c r="BD7" s="91"/>
      <c r="BE7" s="91"/>
      <c r="BF7" s="73"/>
      <c r="BG7" s="278">
        <v>109570</v>
      </c>
      <c r="BH7" s="278">
        <v>84690</v>
      </c>
      <c r="BI7" s="278">
        <v>9750</v>
      </c>
      <c r="BJ7" s="278"/>
      <c r="BK7" s="278">
        <v>19750</v>
      </c>
      <c r="BL7" s="73"/>
      <c r="BM7" s="73">
        <v>420000</v>
      </c>
      <c r="BN7" s="73"/>
      <c r="BO7" s="91"/>
      <c r="BP7" s="91"/>
      <c r="BQ7" s="91">
        <f t="shared" si="1"/>
        <v>643760</v>
      </c>
      <c r="BR7" s="91">
        <f t="shared" si="2"/>
        <v>1321580</v>
      </c>
    </row>
    <row r="8" spans="1:87" s="105" customFormat="1" ht="15.95" customHeight="1">
      <c r="A8" s="266">
        <v>1</v>
      </c>
      <c r="B8" s="69" t="s">
        <v>430</v>
      </c>
      <c r="C8" s="69"/>
      <c r="D8" s="274"/>
      <c r="E8" s="275"/>
      <c r="F8" s="72" t="s">
        <v>207</v>
      </c>
      <c r="G8" s="69">
        <v>300</v>
      </c>
      <c r="H8" s="69" t="s">
        <v>204</v>
      </c>
      <c r="I8" s="74">
        <v>39321</v>
      </c>
      <c r="J8" s="74">
        <v>39321</v>
      </c>
      <c r="K8" s="81">
        <v>12</v>
      </c>
      <c r="L8" s="82">
        <v>6</v>
      </c>
      <c r="M8" s="83">
        <v>3</v>
      </c>
      <c r="N8" s="81">
        <v>12</v>
      </c>
      <c r="O8" s="82">
        <v>0</v>
      </c>
      <c r="P8" s="83">
        <v>5</v>
      </c>
      <c r="Q8" s="81"/>
      <c r="R8" s="82"/>
      <c r="S8" s="83"/>
      <c r="T8" s="84">
        <v>12</v>
      </c>
      <c r="U8" s="82">
        <v>0</v>
      </c>
      <c r="V8" s="83">
        <v>5</v>
      </c>
      <c r="W8" s="106"/>
      <c r="X8" s="74">
        <v>40725</v>
      </c>
      <c r="Y8" s="74" t="s">
        <v>205</v>
      </c>
      <c r="Z8" s="87"/>
      <c r="AA8" s="73">
        <v>49003</v>
      </c>
      <c r="AB8" s="73" t="s">
        <v>206</v>
      </c>
      <c r="AC8" s="73">
        <v>1772270</v>
      </c>
      <c r="AD8" s="91"/>
      <c r="AE8" s="91"/>
      <c r="AF8" s="91">
        <v>8</v>
      </c>
      <c r="AG8" s="91">
        <v>31</v>
      </c>
      <c r="AH8" s="91"/>
      <c r="AI8" s="276">
        <v>40</v>
      </c>
      <c r="AJ8" s="91">
        <v>705670</v>
      </c>
      <c r="AK8" s="91"/>
      <c r="AL8" s="91"/>
      <c r="AM8" s="91"/>
      <c r="AN8" s="91"/>
      <c r="AO8" s="91">
        <v>700000</v>
      </c>
      <c r="AP8" s="91"/>
      <c r="AQ8" s="276"/>
      <c r="AR8" s="91"/>
      <c r="AS8" s="91">
        <v>40000</v>
      </c>
      <c r="AT8" s="91"/>
      <c r="AU8" s="91">
        <v>19350</v>
      </c>
      <c r="AV8" s="91">
        <v>50320</v>
      </c>
      <c r="AW8" s="91">
        <v>450000</v>
      </c>
      <c r="AX8" s="91"/>
      <c r="AY8" s="91"/>
      <c r="AZ8" s="277"/>
      <c r="BA8" s="277"/>
      <c r="BB8" s="91">
        <f t="shared" si="0"/>
        <v>1965340</v>
      </c>
      <c r="BC8" s="91"/>
      <c r="BD8" s="91"/>
      <c r="BE8" s="91"/>
      <c r="BF8" s="73"/>
      <c r="BG8" s="278">
        <v>107280</v>
      </c>
      <c r="BH8" s="278">
        <v>82910</v>
      </c>
      <c r="BI8" s="278">
        <v>9550</v>
      </c>
      <c r="BJ8" s="278"/>
      <c r="BK8" s="278">
        <v>19330</v>
      </c>
      <c r="BL8" s="73"/>
      <c r="BM8" s="73"/>
      <c r="BN8" s="73"/>
      <c r="BO8" s="91"/>
      <c r="BP8" s="91"/>
      <c r="BQ8" s="91">
        <f t="shared" si="1"/>
        <v>219070</v>
      </c>
      <c r="BR8" s="91">
        <f t="shared" si="2"/>
        <v>1746270</v>
      </c>
    </row>
    <row r="9" spans="1:87" s="105" customFormat="1" ht="15.95" customHeight="1">
      <c r="A9" s="266">
        <v>1</v>
      </c>
      <c r="B9" s="69" t="s">
        <v>431</v>
      </c>
      <c r="C9" s="69"/>
      <c r="D9" s="274"/>
      <c r="E9" s="275"/>
      <c r="F9" s="72" t="s">
        <v>203</v>
      </c>
      <c r="G9" s="69">
        <v>366</v>
      </c>
      <c r="H9" s="69" t="s">
        <v>208</v>
      </c>
      <c r="I9" s="74">
        <v>43374</v>
      </c>
      <c r="J9" s="74">
        <v>43374</v>
      </c>
      <c r="K9" s="81">
        <v>1</v>
      </c>
      <c r="L9" s="82">
        <v>5</v>
      </c>
      <c r="M9" s="83">
        <v>0</v>
      </c>
      <c r="N9" s="81">
        <v>0</v>
      </c>
      <c r="O9" s="82">
        <v>11</v>
      </c>
      <c r="P9" s="83">
        <v>1</v>
      </c>
      <c r="Q9" s="81"/>
      <c r="R9" s="82"/>
      <c r="S9" s="83"/>
      <c r="T9" s="84">
        <v>0</v>
      </c>
      <c r="U9" s="82">
        <v>11</v>
      </c>
      <c r="V9" s="83">
        <v>1</v>
      </c>
      <c r="W9" s="106"/>
      <c r="X9" s="74">
        <v>43374</v>
      </c>
      <c r="Y9" s="74" t="s">
        <v>205</v>
      </c>
      <c r="Z9" s="87"/>
      <c r="AA9" s="73">
        <v>49734</v>
      </c>
      <c r="AB9" s="73" t="s">
        <v>209</v>
      </c>
      <c r="AC9" s="73">
        <v>1573770</v>
      </c>
      <c r="AD9" s="91"/>
      <c r="AE9" s="91"/>
      <c r="AF9" s="91">
        <v>8</v>
      </c>
      <c r="AG9" s="91">
        <v>31</v>
      </c>
      <c r="AH9" s="91"/>
      <c r="AI9" s="276">
        <v>40</v>
      </c>
      <c r="AJ9" s="91">
        <v>705670</v>
      </c>
      <c r="AK9" s="91"/>
      <c r="AL9" s="91"/>
      <c r="AM9" s="91"/>
      <c r="AN9" s="91"/>
      <c r="AO9" s="91">
        <v>700000</v>
      </c>
      <c r="AP9" s="91"/>
      <c r="AQ9" s="276"/>
      <c r="AR9" s="91"/>
      <c r="AS9" s="91"/>
      <c r="AT9" s="91"/>
      <c r="AU9" s="91">
        <v>19350</v>
      </c>
      <c r="AV9" s="91">
        <v>50320</v>
      </c>
      <c r="AW9" s="91">
        <v>450000</v>
      </c>
      <c r="AX9" s="91"/>
      <c r="AY9" s="91"/>
      <c r="AZ9" s="277"/>
      <c r="BA9" s="277"/>
      <c r="BB9" s="91">
        <f t="shared" si="0"/>
        <v>1925340</v>
      </c>
      <c r="BC9" s="91"/>
      <c r="BD9" s="91"/>
      <c r="BE9" s="91"/>
      <c r="BF9" s="73"/>
      <c r="BG9" s="278">
        <v>108450</v>
      </c>
      <c r="BH9" s="278">
        <v>83840</v>
      </c>
      <c r="BI9" s="278">
        <v>9650</v>
      </c>
      <c r="BJ9" s="278"/>
      <c r="BK9" s="278">
        <v>20800</v>
      </c>
      <c r="BL9" s="73"/>
      <c r="BM9" s="73">
        <v>600000</v>
      </c>
      <c r="BN9" s="73"/>
      <c r="BO9" s="91"/>
      <c r="BP9" s="91"/>
      <c r="BQ9" s="91">
        <f t="shared" si="1"/>
        <v>822740</v>
      </c>
      <c r="BR9" s="91">
        <f t="shared" si="2"/>
        <v>1102600</v>
      </c>
    </row>
    <row r="10" spans="1:87" s="105" customFormat="1" ht="15.95" customHeight="1">
      <c r="A10" s="266">
        <v>1</v>
      </c>
      <c r="B10" s="69" t="s">
        <v>432</v>
      </c>
      <c r="C10" s="69"/>
      <c r="D10" s="274"/>
      <c r="E10" s="275"/>
      <c r="F10" s="72" t="s">
        <v>203</v>
      </c>
      <c r="G10" s="69">
        <v>366</v>
      </c>
      <c r="H10" s="69" t="s">
        <v>204</v>
      </c>
      <c r="I10" s="74">
        <v>43160</v>
      </c>
      <c r="J10" s="74">
        <v>43160</v>
      </c>
      <c r="K10" s="81">
        <v>2</v>
      </c>
      <c r="L10" s="82">
        <v>0</v>
      </c>
      <c r="M10" s="83">
        <v>0</v>
      </c>
      <c r="N10" s="81">
        <v>1</v>
      </c>
      <c r="O10" s="82">
        <v>6</v>
      </c>
      <c r="P10" s="83">
        <v>1</v>
      </c>
      <c r="Q10" s="81"/>
      <c r="R10" s="82"/>
      <c r="S10" s="83"/>
      <c r="T10" s="84">
        <v>1</v>
      </c>
      <c r="U10" s="82">
        <v>6</v>
      </c>
      <c r="V10" s="83">
        <v>1</v>
      </c>
      <c r="W10" s="106"/>
      <c r="X10" s="74">
        <v>43160</v>
      </c>
      <c r="Y10" s="74" t="s">
        <v>205</v>
      </c>
      <c r="Z10" s="87"/>
      <c r="AA10" s="73">
        <v>49552</v>
      </c>
      <c r="AB10" s="73" t="s">
        <v>210</v>
      </c>
      <c r="AC10" s="73">
        <v>1772270</v>
      </c>
      <c r="AD10" s="91"/>
      <c r="AE10" s="91"/>
      <c r="AF10" s="91">
        <v>22</v>
      </c>
      <c r="AG10" s="91">
        <v>31</v>
      </c>
      <c r="AH10" s="91"/>
      <c r="AI10" s="276">
        <v>20</v>
      </c>
      <c r="AJ10" s="91">
        <v>646870</v>
      </c>
      <c r="AK10" s="91"/>
      <c r="AL10" s="91"/>
      <c r="AM10" s="91"/>
      <c r="AN10" s="91"/>
      <c r="AO10" s="91"/>
      <c r="AP10" s="91"/>
      <c r="AQ10" s="276"/>
      <c r="AR10" s="91"/>
      <c r="AS10" s="91"/>
      <c r="AT10" s="91"/>
      <c r="AU10" s="91"/>
      <c r="AV10" s="91"/>
      <c r="AW10" s="91">
        <v>225000</v>
      </c>
      <c r="AX10" s="91"/>
      <c r="AY10" s="91"/>
      <c r="AZ10" s="277"/>
      <c r="BA10" s="277"/>
      <c r="BB10" s="91">
        <f t="shared" si="0"/>
        <v>871870</v>
      </c>
      <c r="BC10" s="91"/>
      <c r="BD10" s="91"/>
      <c r="BE10" s="91"/>
      <c r="BF10" s="73"/>
      <c r="BG10" s="278">
        <v>43920</v>
      </c>
      <c r="BH10" s="278">
        <v>33490</v>
      </c>
      <c r="BI10" s="278">
        <v>3850</v>
      </c>
      <c r="BJ10" s="278"/>
      <c r="BK10" s="278">
        <v>6880</v>
      </c>
      <c r="BL10" s="73"/>
      <c r="BM10" s="73"/>
      <c r="BN10" s="73"/>
      <c r="BO10" s="91"/>
      <c r="BP10" s="91"/>
      <c r="BQ10" s="91">
        <f t="shared" si="1"/>
        <v>88140</v>
      </c>
      <c r="BR10" s="91">
        <f t="shared" si="2"/>
        <v>783730</v>
      </c>
    </row>
    <row r="11" spans="1:87" s="105" customFormat="1" ht="15.95" customHeight="1">
      <c r="A11" s="266">
        <v>1</v>
      </c>
      <c r="B11" s="69" t="s">
        <v>433</v>
      </c>
      <c r="C11" s="69"/>
      <c r="D11" s="274"/>
      <c r="E11" s="275"/>
      <c r="F11" s="72" t="s">
        <v>203</v>
      </c>
      <c r="G11" s="69">
        <v>366</v>
      </c>
      <c r="H11" s="69" t="s">
        <v>211</v>
      </c>
      <c r="I11" s="74">
        <v>43160</v>
      </c>
      <c r="J11" s="74">
        <v>43160</v>
      </c>
      <c r="K11" s="81">
        <v>2</v>
      </c>
      <c r="L11" s="82">
        <v>0</v>
      </c>
      <c r="M11" s="83">
        <v>0</v>
      </c>
      <c r="N11" s="81">
        <v>1</v>
      </c>
      <c r="O11" s="82">
        <v>6</v>
      </c>
      <c r="P11" s="83">
        <v>1</v>
      </c>
      <c r="Q11" s="81"/>
      <c r="R11" s="82"/>
      <c r="S11" s="83"/>
      <c r="T11" s="84">
        <v>1</v>
      </c>
      <c r="U11" s="82">
        <v>6</v>
      </c>
      <c r="V11" s="83">
        <v>1</v>
      </c>
      <c r="W11" s="106"/>
      <c r="X11" s="74">
        <v>43160</v>
      </c>
      <c r="Y11" s="74" t="s">
        <v>205</v>
      </c>
      <c r="Z11" s="87"/>
      <c r="AA11" s="73">
        <v>41517</v>
      </c>
      <c r="AB11" s="73" t="s">
        <v>212</v>
      </c>
      <c r="AC11" s="73">
        <v>1772270</v>
      </c>
      <c r="AD11" s="91"/>
      <c r="AE11" s="91"/>
      <c r="AF11" s="91">
        <v>22</v>
      </c>
      <c r="AG11" s="91">
        <v>31</v>
      </c>
      <c r="AH11" s="91"/>
      <c r="AI11" s="276">
        <v>20</v>
      </c>
      <c r="AJ11" s="91">
        <v>646870</v>
      </c>
      <c r="AK11" s="91"/>
      <c r="AL11" s="91"/>
      <c r="AM11" s="91"/>
      <c r="AN11" s="91"/>
      <c r="AO11" s="91"/>
      <c r="AP11" s="91"/>
      <c r="AQ11" s="276"/>
      <c r="AR11" s="91"/>
      <c r="AS11" s="91">
        <v>20000</v>
      </c>
      <c r="AT11" s="91"/>
      <c r="AU11" s="91"/>
      <c r="AV11" s="91"/>
      <c r="AW11" s="91">
        <v>225000</v>
      </c>
      <c r="AX11" s="91"/>
      <c r="AY11" s="91"/>
      <c r="AZ11" s="277"/>
      <c r="BA11" s="277"/>
      <c r="BB11" s="91">
        <f t="shared" si="0"/>
        <v>891870</v>
      </c>
      <c r="BC11" s="91"/>
      <c r="BD11" s="91"/>
      <c r="BE11" s="91"/>
      <c r="BF11" s="73"/>
      <c r="BG11" s="278">
        <v>43920</v>
      </c>
      <c r="BH11" s="278">
        <v>33490</v>
      </c>
      <c r="BI11" s="278">
        <v>3850</v>
      </c>
      <c r="BJ11" s="278"/>
      <c r="BK11" s="278">
        <v>6980</v>
      </c>
      <c r="BL11" s="73"/>
      <c r="BM11" s="73"/>
      <c r="BN11" s="73"/>
      <c r="BO11" s="91"/>
      <c r="BP11" s="91"/>
      <c r="BQ11" s="91">
        <f t="shared" si="1"/>
        <v>88240</v>
      </c>
      <c r="BR11" s="91">
        <f t="shared" si="2"/>
        <v>803630</v>
      </c>
    </row>
    <row r="12" spans="1:87" s="105" customFormat="1" ht="15.95" customHeight="1">
      <c r="A12" s="266">
        <v>1</v>
      </c>
      <c r="B12" s="69"/>
      <c r="C12" s="69"/>
      <c r="D12" s="274"/>
      <c r="E12" s="275"/>
      <c r="F12" s="72" t="s">
        <v>207</v>
      </c>
      <c r="G12" s="69">
        <v>200</v>
      </c>
      <c r="H12" s="69"/>
      <c r="I12" s="74">
        <v>41605</v>
      </c>
      <c r="J12" s="74">
        <v>41605</v>
      </c>
      <c r="K12" s="81">
        <v>6</v>
      </c>
      <c r="L12" s="82">
        <v>3</v>
      </c>
      <c r="M12" s="83">
        <v>3</v>
      </c>
      <c r="N12" s="81">
        <v>5</v>
      </c>
      <c r="O12" s="82">
        <v>9</v>
      </c>
      <c r="P12" s="83">
        <v>5</v>
      </c>
      <c r="Q12" s="81"/>
      <c r="R12" s="82"/>
      <c r="S12" s="83"/>
      <c r="T12" s="84">
        <v>5</v>
      </c>
      <c r="U12" s="82">
        <v>9</v>
      </c>
      <c r="V12" s="83">
        <v>5</v>
      </c>
      <c r="W12" s="106" t="s">
        <v>213</v>
      </c>
      <c r="X12" s="74"/>
      <c r="Y12" s="74" t="s">
        <v>205</v>
      </c>
      <c r="Z12" s="87"/>
      <c r="AA12" s="73"/>
      <c r="AB12" s="73" t="s">
        <v>214</v>
      </c>
      <c r="AC12" s="73">
        <v>35000</v>
      </c>
      <c r="AD12" s="91"/>
      <c r="AE12" s="91"/>
      <c r="AF12" s="91">
        <v>31</v>
      </c>
      <c r="AG12" s="91">
        <v>31</v>
      </c>
      <c r="AH12" s="91"/>
      <c r="AI12" s="276">
        <v>20</v>
      </c>
      <c r="AJ12" s="91">
        <v>1058750</v>
      </c>
      <c r="AK12" s="91"/>
      <c r="AL12" s="91"/>
      <c r="AM12" s="91">
        <v>125000</v>
      </c>
      <c r="AN12" s="91">
        <v>37500</v>
      </c>
      <c r="AO12" s="91"/>
      <c r="AP12" s="91"/>
      <c r="AQ12" s="276"/>
      <c r="AR12" s="91"/>
      <c r="AS12" s="91">
        <v>70000</v>
      </c>
      <c r="AT12" s="91"/>
      <c r="AU12" s="91"/>
      <c r="AV12" s="91">
        <v>70000</v>
      </c>
      <c r="AW12" s="91"/>
      <c r="AX12" s="91"/>
      <c r="AY12" s="91"/>
      <c r="AZ12" s="277"/>
      <c r="BA12" s="277"/>
      <c r="BB12" s="91">
        <f t="shared" si="0"/>
        <v>1361250</v>
      </c>
      <c r="BC12" s="91"/>
      <c r="BD12" s="91"/>
      <c r="BE12" s="91"/>
      <c r="BF12" s="73"/>
      <c r="BG12" s="278">
        <v>66330</v>
      </c>
      <c r="BH12" s="278">
        <v>50580</v>
      </c>
      <c r="BI12" s="278">
        <v>5820</v>
      </c>
      <c r="BJ12" s="278"/>
      <c r="BK12" s="278">
        <v>11790</v>
      </c>
      <c r="BL12" s="73"/>
      <c r="BM12" s="73"/>
      <c r="BN12" s="73"/>
      <c r="BO12" s="91"/>
      <c r="BP12" s="91"/>
      <c r="BQ12" s="91">
        <f t="shared" si="1"/>
        <v>134520</v>
      </c>
      <c r="BR12" s="91">
        <f t="shared" si="2"/>
        <v>1226730</v>
      </c>
    </row>
    <row r="13" spans="1:87" s="105" customFormat="1" ht="15.95" customHeight="1">
      <c r="A13" s="266">
        <v>1</v>
      </c>
      <c r="B13" s="69"/>
      <c r="C13" s="69"/>
      <c r="D13" s="274"/>
      <c r="E13" s="275"/>
      <c r="F13" s="72" t="s">
        <v>203</v>
      </c>
      <c r="G13" s="69">
        <v>366</v>
      </c>
      <c r="H13" s="394"/>
      <c r="I13" s="74">
        <v>41122</v>
      </c>
      <c r="J13" s="74">
        <v>41122</v>
      </c>
      <c r="K13" s="81">
        <v>7</v>
      </c>
      <c r="L13" s="82">
        <v>7</v>
      </c>
      <c r="M13" s="83">
        <v>0</v>
      </c>
      <c r="N13" s="81">
        <v>7</v>
      </c>
      <c r="O13" s="82">
        <v>1</v>
      </c>
      <c r="P13" s="83">
        <v>1</v>
      </c>
      <c r="Q13" s="81"/>
      <c r="R13" s="82"/>
      <c r="S13" s="83"/>
      <c r="T13" s="84">
        <v>7</v>
      </c>
      <c r="U13" s="82">
        <v>1</v>
      </c>
      <c r="V13" s="83">
        <v>1</v>
      </c>
      <c r="W13" s="106" t="s">
        <v>213</v>
      </c>
      <c r="X13" s="74"/>
      <c r="Y13" s="74" t="s">
        <v>205</v>
      </c>
      <c r="Z13" s="87"/>
      <c r="AA13" s="73"/>
      <c r="AB13" s="73" t="s">
        <v>215</v>
      </c>
      <c r="AC13" s="73">
        <v>500000</v>
      </c>
      <c r="AD13" s="91"/>
      <c r="AE13" s="91"/>
      <c r="AF13" s="91">
        <v>31</v>
      </c>
      <c r="AG13" s="91">
        <v>31</v>
      </c>
      <c r="AH13" s="91"/>
      <c r="AI13" s="276">
        <v>40</v>
      </c>
      <c r="AJ13" s="91">
        <v>2700000</v>
      </c>
      <c r="AK13" s="91">
        <v>100000</v>
      </c>
      <c r="AL13" s="91"/>
      <c r="AM13" s="91"/>
      <c r="AN13" s="91"/>
      <c r="AO13" s="91"/>
      <c r="AP13" s="91"/>
      <c r="AQ13" s="276"/>
      <c r="AR13" s="91"/>
      <c r="AS13" s="91"/>
      <c r="AT13" s="91"/>
      <c r="AU13" s="91"/>
      <c r="AV13" s="91"/>
      <c r="AW13" s="91"/>
      <c r="AX13" s="91"/>
      <c r="AY13" s="91"/>
      <c r="AZ13" s="277"/>
      <c r="BA13" s="277"/>
      <c r="BB13" s="91">
        <f t="shared" si="0"/>
        <v>2800000</v>
      </c>
      <c r="BC13" s="91"/>
      <c r="BD13" s="91"/>
      <c r="BE13" s="91">
        <v>80760</v>
      </c>
      <c r="BF13" s="73">
        <v>8070</v>
      </c>
      <c r="BG13" s="278">
        <v>130180</v>
      </c>
      <c r="BH13" s="278">
        <v>100610</v>
      </c>
      <c r="BI13" s="278">
        <v>11590</v>
      </c>
      <c r="BJ13" s="278"/>
      <c r="BK13" s="278"/>
      <c r="BL13" s="73"/>
      <c r="BM13" s="73"/>
      <c r="BN13" s="73"/>
      <c r="BO13" s="91"/>
      <c r="BP13" s="91"/>
      <c r="BQ13" s="91">
        <f t="shared" si="1"/>
        <v>331210</v>
      </c>
      <c r="BR13" s="91">
        <f t="shared" si="2"/>
        <v>2468790</v>
      </c>
    </row>
    <row r="14" spans="1:87" s="105" customFormat="1" ht="15.95" customHeight="1">
      <c r="A14" s="266">
        <v>1</v>
      </c>
      <c r="B14" s="69"/>
      <c r="C14" s="69"/>
      <c r="D14" s="274"/>
      <c r="E14" s="275"/>
      <c r="F14" s="72" t="s">
        <v>216</v>
      </c>
      <c r="G14" s="69">
        <v>366</v>
      </c>
      <c r="H14" s="69"/>
      <c r="I14" s="74">
        <v>41699</v>
      </c>
      <c r="J14" s="74">
        <v>41699</v>
      </c>
      <c r="K14" s="81">
        <v>6</v>
      </c>
      <c r="L14" s="82">
        <v>0</v>
      </c>
      <c r="M14" s="83">
        <v>0</v>
      </c>
      <c r="N14" s="81">
        <v>5</v>
      </c>
      <c r="O14" s="82">
        <v>6</v>
      </c>
      <c r="P14" s="83">
        <v>1</v>
      </c>
      <c r="Q14" s="81"/>
      <c r="R14" s="82"/>
      <c r="S14" s="83"/>
      <c r="T14" s="84">
        <v>5</v>
      </c>
      <c r="U14" s="82">
        <v>6</v>
      </c>
      <c r="V14" s="83">
        <v>1</v>
      </c>
      <c r="W14" s="106" t="s">
        <v>213</v>
      </c>
      <c r="X14" s="74"/>
      <c r="Y14" s="74" t="s">
        <v>205</v>
      </c>
      <c r="Z14" s="87"/>
      <c r="AA14" s="73"/>
      <c r="AB14" s="73" t="s">
        <v>217</v>
      </c>
      <c r="AC14" s="73">
        <v>1998400</v>
      </c>
      <c r="AD14" s="91"/>
      <c r="AE14" s="91"/>
      <c r="AF14" s="91">
        <v>31</v>
      </c>
      <c r="AG14" s="91">
        <v>31</v>
      </c>
      <c r="AH14" s="91"/>
      <c r="AI14" s="276">
        <v>14</v>
      </c>
      <c r="AJ14" s="91">
        <v>560000</v>
      </c>
      <c r="AK14" s="91"/>
      <c r="AL14" s="91"/>
      <c r="AM14" s="91"/>
      <c r="AN14" s="91"/>
      <c r="AO14" s="91"/>
      <c r="AP14" s="91"/>
      <c r="AQ14" s="276"/>
      <c r="AR14" s="91"/>
      <c r="AS14" s="91"/>
      <c r="AT14" s="91"/>
      <c r="AU14" s="91"/>
      <c r="AV14" s="91"/>
      <c r="AW14" s="91"/>
      <c r="AX14" s="91"/>
      <c r="AY14" s="91"/>
      <c r="AZ14" s="277"/>
      <c r="BA14" s="277"/>
      <c r="BB14" s="91">
        <f t="shared" si="0"/>
        <v>560000</v>
      </c>
      <c r="BC14" s="91"/>
      <c r="BD14" s="91"/>
      <c r="BE14" s="91"/>
      <c r="BF14" s="73"/>
      <c r="BG14" s="278"/>
      <c r="BH14" s="278"/>
      <c r="BI14" s="278"/>
      <c r="BJ14" s="278"/>
      <c r="BK14" s="278"/>
      <c r="BL14" s="73"/>
      <c r="BM14" s="73"/>
      <c r="BN14" s="73"/>
      <c r="BO14" s="91"/>
      <c r="BP14" s="91"/>
      <c r="BQ14" s="91">
        <f t="shared" si="1"/>
        <v>0</v>
      </c>
      <c r="BR14" s="91">
        <f t="shared" si="2"/>
        <v>560000</v>
      </c>
    </row>
    <row r="15" spans="1:87" s="96" customFormat="1" ht="15.95" customHeight="1">
      <c r="A15" s="468">
        <v>2</v>
      </c>
      <c r="B15" s="282"/>
      <c r="C15" s="282"/>
      <c r="D15" s="283"/>
      <c r="E15" s="284"/>
      <c r="F15" s="285" t="s">
        <v>203</v>
      </c>
      <c r="G15" s="282">
        <v>366</v>
      </c>
      <c r="H15" s="282" t="s">
        <v>204</v>
      </c>
      <c r="I15" s="286">
        <v>37135</v>
      </c>
      <c r="J15" s="286">
        <v>38047</v>
      </c>
      <c r="K15" s="287">
        <v>16</v>
      </c>
      <c r="L15" s="288">
        <v>0</v>
      </c>
      <c r="M15" s="289">
        <v>0</v>
      </c>
      <c r="N15" s="287">
        <v>18</v>
      </c>
      <c r="O15" s="288">
        <v>0</v>
      </c>
      <c r="P15" s="289">
        <v>1</v>
      </c>
      <c r="Q15" s="287"/>
      <c r="R15" s="288"/>
      <c r="S15" s="289"/>
      <c r="T15" s="290">
        <v>18</v>
      </c>
      <c r="U15" s="288">
        <v>0</v>
      </c>
      <c r="V15" s="289">
        <v>1</v>
      </c>
      <c r="W15" s="291"/>
      <c r="X15" s="286">
        <v>39356</v>
      </c>
      <c r="Y15" s="286" t="s">
        <v>205</v>
      </c>
      <c r="Z15" s="292"/>
      <c r="AA15" s="293">
        <v>48638</v>
      </c>
      <c r="AB15" s="293" t="s">
        <v>206</v>
      </c>
      <c r="AC15" s="293">
        <v>1772270</v>
      </c>
      <c r="AD15" s="294"/>
      <c r="AE15" s="294"/>
      <c r="AF15" s="294">
        <v>28</v>
      </c>
      <c r="AG15" s="294">
        <v>28</v>
      </c>
      <c r="AH15" s="294"/>
      <c r="AI15" s="295">
        <v>27.5</v>
      </c>
      <c r="AJ15" s="356">
        <v>1253310</v>
      </c>
      <c r="AK15" s="295"/>
      <c r="AL15" s="295"/>
      <c r="AM15" s="295"/>
      <c r="AN15" s="295"/>
      <c r="AO15" s="295"/>
      <c r="AP15" s="294"/>
      <c r="AQ15" s="295">
        <v>412500</v>
      </c>
      <c r="AR15" s="294"/>
      <c r="AS15" s="294"/>
      <c r="AT15" s="294"/>
      <c r="AU15" s="294"/>
      <c r="AV15" s="356">
        <v>190630</v>
      </c>
      <c r="AW15" s="294"/>
      <c r="AX15" s="294"/>
      <c r="AY15" s="294"/>
      <c r="AZ15" s="294">
        <v>792980</v>
      </c>
      <c r="BA15" s="296"/>
      <c r="BB15" s="294">
        <f t="shared" si="0"/>
        <v>2649420</v>
      </c>
      <c r="BC15" s="393"/>
      <c r="BD15" s="393"/>
      <c r="BE15" s="297"/>
      <c r="BF15" s="298"/>
      <c r="BG15" s="299"/>
      <c r="BH15" s="299">
        <v>42920</v>
      </c>
      <c r="BI15" s="299">
        <v>4940</v>
      </c>
      <c r="BJ15" s="299"/>
      <c r="BK15" s="299">
        <v>10010</v>
      </c>
      <c r="BL15" s="293"/>
      <c r="BM15" s="293"/>
      <c r="BN15" s="300"/>
      <c r="BO15" s="300"/>
      <c r="BP15" s="294"/>
      <c r="BQ15" s="294">
        <f t="shared" si="1"/>
        <v>57870</v>
      </c>
      <c r="BR15" s="294">
        <f t="shared" si="2"/>
        <v>2591550</v>
      </c>
    </row>
    <row r="16" spans="1:87" s="96" customFormat="1" ht="15.95" customHeight="1">
      <c r="A16" s="468">
        <v>2</v>
      </c>
      <c r="B16" s="282"/>
      <c r="C16" s="282"/>
      <c r="D16" s="283"/>
      <c r="E16" s="284"/>
      <c r="F16" s="285" t="s">
        <v>203</v>
      </c>
      <c r="G16" s="282">
        <v>366</v>
      </c>
      <c r="H16" s="282" t="s">
        <v>204</v>
      </c>
      <c r="I16" s="286">
        <v>37681</v>
      </c>
      <c r="J16" s="286">
        <v>38047</v>
      </c>
      <c r="K16" s="287">
        <v>16</v>
      </c>
      <c r="L16" s="288">
        <v>0</v>
      </c>
      <c r="M16" s="289">
        <v>0</v>
      </c>
      <c r="N16" s="287">
        <v>16</v>
      </c>
      <c r="O16" s="288">
        <v>6</v>
      </c>
      <c r="P16" s="289">
        <v>1</v>
      </c>
      <c r="Q16" s="287"/>
      <c r="R16" s="288"/>
      <c r="S16" s="289"/>
      <c r="T16" s="290">
        <v>16</v>
      </c>
      <c r="U16" s="288">
        <v>6</v>
      </c>
      <c r="V16" s="289">
        <v>1</v>
      </c>
      <c r="W16" s="291"/>
      <c r="X16" s="286">
        <v>39356</v>
      </c>
      <c r="Y16" s="286" t="s">
        <v>205</v>
      </c>
      <c r="Z16" s="292"/>
      <c r="AA16" s="293">
        <v>52290</v>
      </c>
      <c r="AB16" s="293" t="s">
        <v>206</v>
      </c>
      <c r="AC16" s="293">
        <v>1772270</v>
      </c>
      <c r="AD16" s="294"/>
      <c r="AE16" s="294"/>
      <c r="AF16" s="294">
        <v>28</v>
      </c>
      <c r="AG16" s="294">
        <v>28</v>
      </c>
      <c r="AH16" s="294"/>
      <c r="AI16" s="295">
        <v>20</v>
      </c>
      <c r="AJ16" s="356">
        <v>911500</v>
      </c>
      <c r="AK16" s="295"/>
      <c r="AL16" s="295"/>
      <c r="AM16" s="295"/>
      <c r="AN16" s="295"/>
      <c r="AO16" s="294">
        <v>35000</v>
      </c>
      <c r="AP16" s="294">
        <v>63780</v>
      </c>
      <c r="AQ16" s="295">
        <v>300000</v>
      </c>
      <c r="AR16" s="294">
        <v>20000</v>
      </c>
      <c r="AS16" s="294">
        <v>30000</v>
      </c>
      <c r="AT16" s="294"/>
      <c r="AU16" s="294"/>
      <c r="AV16" s="356">
        <v>215000</v>
      </c>
      <c r="AW16" s="294"/>
      <c r="AX16" s="294"/>
      <c r="AY16" s="294"/>
      <c r="AZ16" s="294">
        <v>382950</v>
      </c>
      <c r="BA16" s="296"/>
      <c r="BB16" s="294">
        <f t="shared" si="0"/>
        <v>1958230</v>
      </c>
      <c r="BC16" s="393"/>
      <c r="BD16" s="393"/>
      <c r="BE16" s="297"/>
      <c r="BF16" s="298"/>
      <c r="BG16" s="299">
        <v>44910</v>
      </c>
      <c r="BH16" s="299">
        <v>34710</v>
      </c>
      <c r="BI16" s="299">
        <v>3990</v>
      </c>
      <c r="BJ16" s="299"/>
      <c r="BK16" s="299">
        <v>8090</v>
      </c>
      <c r="BL16" s="293"/>
      <c r="BM16" s="293"/>
      <c r="BN16" s="300"/>
      <c r="BO16" s="300"/>
      <c r="BP16" s="294"/>
      <c r="BQ16" s="294">
        <f t="shared" si="1"/>
        <v>91700</v>
      </c>
      <c r="BR16" s="294">
        <f t="shared" si="2"/>
        <v>1866530</v>
      </c>
    </row>
    <row r="17" spans="1:70" s="96" customFormat="1" ht="15.95" customHeight="1">
      <c r="A17" s="468">
        <v>2</v>
      </c>
      <c r="B17" s="282"/>
      <c r="C17" s="282"/>
      <c r="D17" s="283"/>
      <c r="E17" s="284"/>
      <c r="F17" s="285" t="s">
        <v>207</v>
      </c>
      <c r="G17" s="282">
        <v>285</v>
      </c>
      <c r="H17" s="282" t="s">
        <v>204</v>
      </c>
      <c r="I17" s="286">
        <v>40603</v>
      </c>
      <c r="J17" s="286">
        <v>40603</v>
      </c>
      <c r="K17" s="287">
        <v>9</v>
      </c>
      <c r="L17" s="288">
        <v>0</v>
      </c>
      <c r="M17" s="289">
        <v>0</v>
      </c>
      <c r="N17" s="287">
        <v>8</v>
      </c>
      <c r="O17" s="288">
        <v>6</v>
      </c>
      <c r="P17" s="289">
        <v>1</v>
      </c>
      <c r="Q17" s="287">
        <v>7</v>
      </c>
      <c r="R17" s="288"/>
      <c r="S17" s="289"/>
      <c r="T17" s="290">
        <v>15</v>
      </c>
      <c r="U17" s="288">
        <v>6</v>
      </c>
      <c r="V17" s="289">
        <v>1</v>
      </c>
      <c r="W17" s="291"/>
      <c r="X17" s="286">
        <v>41334</v>
      </c>
      <c r="Y17" s="286" t="s">
        <v>205</v>
      </c>
      <c r="Z17" s="292"/>
      <c r="AA17" s="293">
        <v>45716</v>
      </c>
      <c r="AB17" s="293" t="s">
        <v>206</v>
      </c>
      <c r="AC17" s="293">
        <v>1772270</v>
      </c>
      <c r="AD17" s="294"/>
      <c r="AE17" s="294"/>
      <c r="AF17" s="294">
        <v>28</v>
      </c>
      <c r="AG17" s="294">
        <v>28</v>
      </c>
      <c r="AH17" s="294"/>
      <c r="AI17" s="295">
        <v>25</v>
      </c>
      <c r="AJ17" s="356">
        <v>1139370</v>
      </c>
      <c r="AK17" s="295"/>
      <c r="AL17" s="295"/>
      <c r="AM17" s="295"/>
      <c r="AN17" s="295"/>
      <c r="AO17" s="294">
        <v>240620</v>
      </c>
      <c r="AP17" s="294"/>
      <c r="AQ17" s="295">
        <v>375000</v>
      </c>
      <c r="AR17" s="294">
        <v>15000</v>
      </c>
      <c r="AS17" s="294">
        <v>37500</v>
      </c>
      <c r="AT17" s="294"/>
      <c r="AU17" s="294"/>
      <c r="AV17" s="356">
        <v>198750</v>
      </c>
      <c r="AW17" s="294"/>
      <c r="AX17" s="294"/>
      <c r="AY17" s="294"/>
      <c r="AZ17" s="294">
        <v>761480</v>
      </c>
      <c r="BA17" s="296"/>
      <c r="BB17" s="294">
        <f t="shared" si="0"/>
        <v>2767720</v>
      </c>
      <c r="BC17" s="393"/>
      <c r="BD17" s="393"/>
      <c r="BE17" s="297"/>
      <c r="BF17" s="298"/>
      <c r="BG17" s="299">
        <v>67140</v>
      </c>
      <c r="BH17" s="299">
        <v>51880</v>
      </c>
      <c r="BI17" s="299">
        <v>5970</v>
      </c>
      <c r="BJ17" s="299"/>
      <c r="BK17" s="299">
        <v>12100</v>
      </c>
      <c r="BL17" s="293"/>
      <c r="BM17" s="293"/>
      <c r="BN17" s="300"/>
      <c r="BO17" s="300"/>
      <c r="BP17" s="294"/>
      <c r="BQ17" s="294">
        <f t="shared" si="1"/>
        <v>137090</v>
      </c>
      <c r="BR17" s="294">
        <f t="shared" si="2"/>
        <v>2630630</v>
      </c>
    </row>
    <row r="18" spans="1:70" s="96" customFormat="1" ht="15.95" customHeight="1">
      <c r="A18" s="468">
        <v>2</v>
      </c>
      <c r="B18" s="282"/>
      <c r="C18" s="282"/>
      <c r="D18" s="283"/>
      <c r="E18" s="284"/>
      <c r="F18" s="285" t="s">
        <v>207</v>
      </c>
      <c r="G18" s="282">
        <v>293</v>
      </c>
      <c r="H18" s="282" t="s">
        <v>204</v>
      </c>
      <c r="I18" s="286">
        <v>34029</v>
      </c>
      <c r="J18" s="286">
        <v>38047</v>
      </c>
      <c r="K18" s="287">
        <v>16</v>
      </c>
      <c r="L18" s="288">
        <v>0</v>
      </c>
      <c r="M18" s="289">
        <v>0</v>
      </c>
      <c r="N18" s="287">
        <v>26</v>
      </c>
      <c r="O18" s="288">
        <v>6</v>
      </c>
      <c r="P18" s="289">
        <v>1</v>
      </c>
      <c r="Q18" s="287"/>
      <c r="R18" s="288"/>
      <c r="S18" s="289"/>
      <c r="T18" s="290">
        <v>26</v>
      </c>
      <c r="U18" s="288">
        <v>6</v>
      </c>
      <c r="V18" s="289">
        <v>1</v>
      </c>
      <c r="W18" s="291"/>
      <c r="X18" s="286">
        <v>39356</v>
      </c>
      <c r="Y18" s="286" t="s">
        <v>205</v>
      </c>
      <c r="Z18" s="292"/>
      <c r="AA18" s="293">
        <v>45535</v>
      </c>
      <c r="AB18" s="293" t="s">
        <v>206</v>
      </c>
      <c r="AC18" s="293">
        <v>1772270</v>
      </c>
      <c r="AD18" s="294"/>
      <c r="AE18" s="294"/>
      <c r="AF18" s="294">
        <v>8</v>
      </c>
      <c r="AG18" s="294">
        <v>28</v>
      </c>
      <c r="AH18" s="294"/>
      <c r="AI18" s="295">
        <v>40</v>
      </c>
      <c r="AJ18" s="356">
        <v>697270</v>
      </c>
      <c r="AK18" s="295"/>
      <c r="AL18" s="295"/>
      <c r="AM18" s="295"/>
      <c r="AN18" s="295"/>
      <c r="AO18" s="294">
        <v>350000</v>
      </c>
      <c r="AP18" s="294"/>
      <c r="AQ18" s="295">
        <v>600000</v>
      </c>
      <c r="AR18" s="294"/>
      <c r="AS18" s="294">
        <v>220000</v>
      </c>
      <c r="AT18" s="294"/>
      <c r="AU18" s="356">
        <v>19120</v>
      </c>
      <c r="AV18" s="356">
        <v>56130</v>
      </c>
      <c r="AW18" s="294"/>
      <c r="AX18" s="294"/>
      <c r="AY18" s="294"/>
      <c r="AZ18" s="294">
        <v>1447040</v>
      </c>
      <c r="BA18" s="296"/>
      <c r="BB18" s="294">
        <f t="shared" si="0"/>
        <v>3389560</v>
      </c>
      <c r="BC18" s="393"/>
      <c r="BD18" s="393"/>
      <c r="BE18" s="297"/>
      <c r="BF18" s="298"/>
      <c r="BG18" s="299">
        <v>99310</v>
      </c>
      <c r="BH18" s="299">
        <v>76760</v>
      </c>
      <c r="BI18" s="299">
        <v>8840</v>
      </c>
      <c r="BJ18" s="299"/>
      <c r="BK18" s="299">
        <v>17900</v>
      </c>
      <c r="BL18" s="293"/>
      <c r="BM18" s="293">
        <v>240000</v>
      </c>
      <c r="BN18" s="300"/>
      <c r="BO18" s="300"/>
      <c r="BP18" s="294"/>
      <c r="BQ18" s="294">
        <f t="shared" si="1"/>
        <v>442810</v>
      </c>
      <c r="BR18" s="294">
        <f t="shared" si="2"/>
        <v>2946750</v>
      </c>
    </row>
    <row r="19" spans="1:70" s="96" customFormat="1" ht="15.95" customHeight="1">
      <c r="A19" s="468">
        <v>2</v>
      </c>
      <c r="B19" s="282"/>
      <c r="C19" s="282"/>
      <c r="D19" s="283"/>
      <c r="E19" s="284"/>
      <c r="F19" s="285" t="s">
        <v>207</v>
      </c>
      <c r="G19" s="282">
        <v>300</v>
      </c>
      <c r="H19" s="282" t="s">
        <v>204</v>
      </c>
      <c r="I19" s="286">
        <v>38412</v>
      </c>
      <c r="J19" s="286">
        <v>38412</v>
      </c>
      <c r="K19" s="287">
        <v>15</v>
      </c>
      <c r="L19" s="288">
        <v>0</v>
      </c>
      <c r="M19" s="289">
        <v>0</v>
      </c>
      <c r="N19" s="287">
        <v>14</v>
      </c>
      <c r="O19" s="288">
        <v>6</v>
      </c>
      <c r="P19" s="289">
        <v>1</v>
      </c>
      <c r="Q19" s="287">
        <v>3</v>
      </c>
      <c r="R19" s="288"/>
      <c r="S19" s="289"/>
      <c r="T19" s="290">
        <v>17</v>
      </c>
      <c r="U19" s="288">
        <v>6</v>
      </c>
      <c r="V19" s="289">
        <v>1</v>
      </c>
      <c r="W19" s="291"/>
      <c r="X19" s="286">
        <v>39356</v>
      </c>
      <c r="Y19" s="286" t="s">
        <v>205</v>
      </c>
      <c r="Z19" s="292"/>
      <c r="AA19" s="293">
        <v>47726</v>
      </c>
      <c r="AB19" s="293" t="s">
        <v>206</v>
      </c>
      <c r="AC19" s="293">
        <v>1772270</v>
      </c>
      <c r="AD19" s="294"/>
      <c r="AE19" s="294"/>
      <c r="AF19" s="294">
        <v>8</v>
      </c>
      <c r="AG19" s="294">
        <v>28</v>
      </c>
      <c r="AH19" s="294"/>
      <c r="AI19" s="295">
        <v>40</v>
      </c>
      <c r="AJ19" s="356">
        <v>697270</v>
      </c>
      <c r="AK19" s="295"/>
      <c r="AL19" s="295"/>
      <c r="AM19" s="295"/>
      <c r="AN19" s="295"/>
      <c r="AO19" s="294">
        <v>700000</v>
      </c>
      <c r="AP19" s="294"/>
      <c r="AQ19" s="295">
        <v>600000</v>
      </c>
      <c r="AR19" s="294"/>
      <c r="AS19" s="294">
        <v>40000</v>
      </c>
      <c r="AT19" s="294"/>
      <c r="AU19" s="356">
        <v>19120</v>
      </c>
      <c r="AV19" s="356">
        <v>56130</v>
      </c>
      <c r="AW19" s="294"/>
      <c r="AX19" s="294"/>
      <c r="AY19" s="294"/>
      <c r="AZ19" s="294">
        <v>1962570</v>
      </c>
      <c r="BA19" s="296"/>
      <c r="BB19" s="294">
        <f t="shared" si="0"/>
        <v>4075090</v>
      </c>
      <c r="BC19" s="393"/>
      <c r="BD19" s="393"/>
      <c r="BE19" s="297"/>
      <c r="BF19" s="298"/>
      <c r="BG19" s="299">
        <v>109570</v>
      </c>
      <c r="BH19" s="299">
        <v>84690</v>
      </c>
      <c r="BI19" s="299">
        <v>9750</v>
      </c>
      <c r="BJ19" s="299"/>
      <c r="BK19" s="299">
        <v>19750</v>
      </c>
      <c r="BL19" s="293"/>
      <c r="BM19" s="293">
        <v>420000</v>
      </c>
      <c r="BN19" s="300"/>
      <c r="BO19" s="300"/>
      <c r="BP19" s="294"/>
      <c r="BQ19" s="294">
        <f t="shared" si="1"/>
        <v>643760</v>
      </c>
      <c r="BR19" s="294">
        <f t="shared" si="2"/>
        <v>3431330</v>
      </c>
    </row>
    <row r="20" spans="1:70" s="96" customFormat="1" ht="15.95" customHeight="1">
      <c r="A20" s="468">
        <v>2</v>
      </c>
      <c r="B20" s="282"/>
      <c r="C20" s="282"/>
      <c r="D20" s="283"/>
      <c r="E20" s="284"/>
      <c r="F20" s="285" t="s">
        <v>207</v>
      </c>
      <c r="G20" s="282">
        <v>300</v>
      </c>
      <c r="H20" s="282" t="s">
        <v>204</v>
      </c>
      <c r="I20" s="286">
        <v>39321</v>
      </c>
      <c r="J20" s="286">
        <v>39321</v>
      </c>
      <c r="K20" s="287">
        <v>12</v>
      </c>
      <c r="L20" s="288">
        <v>6</v>
      </c>
      <c r="M20" s="289">
        <v>3</v>
      </c>
      <c r="N20" s="287">
        <v>12</v>
      </c>
      <c r="O20" s="288">
        <v>0</v>
      </c>
      <c r="P20" s="289">
        <v>5</v>
      </c>
      <c r="Q20" s="287"/>
      <c r="R20" s="288"/>
      <c r="S20" s="289"/>
      <c r="T20" s="290">
        <v>12</v>
      </c>
      <c r="U20" s="288">
        <v>0</v>
      </c>
      <c r="V20" s="289">
        <v>5</v>
      </c>
      <c r="W20" s="291"/>
      <c r="X20" s="286">
        <v>40725</v>
      </c>
      <c r="Y20" s="286" t="s">
        <v>205</v>
      </c>
      <c r="Z20" s="292"/>
      <c r="AA20" s="293">
        <v>49003</v>
      </c>
      <c r="AB20" s="293" t="s">
        <v>206</v>
      </c>
      <c r="AC20" s="293">
        <v>1772270</v>
      </c>
      <c r="AD20" s="294"/>
      <c r="AE20" s="294"/>
      <c r="AF20" s="294">
        <v>0</v>
      </c>
      <c r="AG20" s="294">
        <v>28</v>
      </c>
      <c r="AH20" s="294"/>
      <c r="AI20" s="295">
        <v>40</v>
      </c>
      <c r="AJ20" s="356">
        <v>58800</v>
      </c>
      <c r="AK20" s="295"/>
      <c r="AL20" s="295"/>
      <c r="AM20" s="295"/>
      <c r="AN20" s="295"/>
      <c r="AO20" s="294"/>
      <c r="AP20" s="294"/>
      <c r="AQ20" s="295">
        <v>600000</v>
      </c>
      <c r="AR20" s="294"/>
      <c r="AS20" s="294"/>
      <c r="AT20" s="294"/>
      <c r="AU20" s="356">
        <v>1610</v>
      </c>
      <c r="AV20" s="356">
        <v>7100</v>
      </c>
      <c r="AW20" s="294"/>
      <c r="AX20" s="294"/>
      <c r="AY20" s="294"/>
      <c r="AZ20" s="294">
        <v>1869120</v>
      </c>
      <c r="BA20" s="296"/>
      <c r="BB20" s="294">
        <f t="shared" si="0"/>
        <v>2536630</v>
      </c>
      <c r="BC20" s="393"/>
      <c r="BD20" s="393"/>
      <c r="BE20" s="297"/>
      <c r="BF20" s="298"/>
      <c r="BG20" s="299">
        <v>107280</v>
      </c>
      <c r="BH20" s="299">
        <v>82910</v>
      </c>
      <c r="BI20" s="299">
        <v>9550</v>
      </c>
      <c r="BJ20" s="299"/>
      <c r="BK20" s="299">
        <v>19330</v>
      </c>
      <c r="BL20" s="293"/>
      <c r="BM20" s="293"/>
      <c r="BN20" s="300"/>
      <c r="BO20" s="300"/>
      <c r="BP20" s="294"/>
      <c r="BQ20" s="294">
        <f t="shared" si="1"/>
        <v>219070</v>
      </c>
      <c r="BR20" s="294">
        <f t="shared" si="2"/>
        <v>2317560</v>
      </c>
    </row>
    <row r="21" spans="1:70" s="96" customFormat="1" ht="15.95" customHeight="1">
      <c r="A21" s="468">
        <v>2</v>
      </c>
      <c r="B21" s="282"/>
      <c r="C21" s="282"/>
      <c r="D21" s="283"/>
      <c r="E21" s="284"/>
      <c r="F21" s="285" t="s">
        <v>203</v>
      </c>
      <c r="G21" s="282">
        <v>366</v>
      </c>
      <c r="H21" s="282" t="s">
        <v>208</v>
      </c>
      <c r="I21" s="286">
        <v>43374</v>
      </c>
      <c r="J21" s="286">
        <v>43374</v>
      </c>
      <c r="K21" s="287">
        <v>1</v>
      </c>
      <c r="L21" s="288">
        <v>5</v>
      </c>
      <c r="M21" s="289">
        <v>0</v>
      </c>
      <c r="N21" s="287">
        <v>0</v>
      </c>
      <c r="O21" s="288">
        <v>11</v>
      </c>
      <c r="P21" s="289">
        <v>1</v>
      </c>
      <c r="Q21" s="287"/>
      <c r="R21" s="288"/>
      <c r="S21" s="289"/>
      <c r="T21" s="290">
        <v>0</v>
      </c>
      <c r="U21" s="288">
        <v>11</v>
      </c>
      <c r="V21" s="289">
        <v>1</v>
      </c>
      <c r="W21" s="291"/>
      <c r="X21" s="286">
        <v>43374</v>
      </c>
      <c r="Y21" s="286" t="s">
        <v>205</v>
      </c>
      <c r="Z21" s="292"/>
      <c r="AA21" s="293">
        <v>49734</v>
      </c>
      <c r="AB21" s="293" t="s">
        <v>209</v>
      </c>
      <c r="AC21" s="293">
        <v>1573770</v>
      </c>
      <c r="AD21" s="294"/>
      <c r="AE21" s="294"/>
      <c r="AF21" s="294">
        <v>8</v>
      </c>
      <c r="AG21" s="294">
        <v>28</v>
      </c>
      <c r="AH21" s="294"/>
      <c r="AI21" s="295">
        <v>40</v>
      </c>
      <c r="AJ21" s="356">
        <v>697270</v>
      </c>
      <c r="AK21" s="295"/>
      <c r="AL21" s="295"/>
      <c r="AM21" s="295"/>
      <c r="AN21" s="295"/>
      <c r="AO21" s="294">
        <v>700000</v>
      </c>
      <c r="AP21" s="294"/>
      <c r="AQ21" s="295">
        <v>600000</v>
      </c>
      <c r="AR21" s="294"/>
      <c r="AS21" s="294"/>
      <c r="AT21" s="294"/>
      <c r="AU21" s="356">
        <v>19120</v>
      </c>
      <c r="AV21" s="356">
        <v>56130</v>
      </c>
      <c r="AW21" s="294"/>
      <c r="AX21" s="294"/>
      <c r="AY21" s="294"/>
      <c r="AZ21" s="294">
        <v>1962570</v>
      </c>
      <c r="BA21" s="296"/>
      <c r="BB21" s="294">
        <f t="shared" si="0"/>
        <v>4035090</v>
      </c>
      <c r="BC21" s="393"/>
      <c r="BD21" s="393"/>
      <c r="BE21" s="297"/>
      <c r="BF21" s="298"/>
      <c r="BG21" s="299">
        <v>108450</v>
      </c>
      <c r="BH21" s="299">
        <v>83840</v>
      </c>
      <c r="BI21" s="299">
        <v>9650</v>
      </c>
      <c r="BJ21" s="299"/>
      <c r="BK21" s="299">
        <v>20800</v>
      </c>
      <c r="BL21" s="293"/>
      <c r="BM21" s="293">
        <v>600000</v>
      </c>
      <c r="BN21" s="300"/>
      <c r="BO21" s="300"/>
      <c r="BP21" s="294"/>
      <c r="BQ21" s="294">
        <f t="shared" si="1"/>
        <v>822740</v>
      </c>
      <c r="BR21" s="294">
        <f t="shared" si="2"/>
        <v>3212350</v>
      </c>
    </row>
    <row r="22" spans="1:70" s="96" customFormat="1" ht="15.95" customHeight="1">
      <c r="A22" s="468">
        <v>2</v>
      </c>
      <c r="B22" s="282"/>
      <c r="C22" s="282"/>
      <c r="D22" s="283"/>
      <c r="E22" s="284"/>
      <c r="F22" s="285" t="s">
        <v>203</v>
      </c>
      <c r="G22" s="282">
        <v>366</v>
      </c>
      <c r="H22" s="282" t="s">
        <v>204</v>
      </c>
      <c r="I22" s="286">
        <v>43160</v>
      </c>
      <c r="J22" s="286">
        <v>43160</v>
      </c>
      <c r="K22" s="287">
        <v>2</v>
      </c>
      <c r="L22" s="288">
        <v>0</v>
      </c>
      <c r="M22" s="289">
        <v>0</v>
      </c>
      <c r="N22" s="287">
        <v>1</v>
      </c>
      <c r="O22" s="288">
        <v>6</v>
      </c>
      <c r="P22" s="289">
        <v>1</v>
      </c>
      <c r="Q22" s="287"/>
      <c r="R22" s="288"/>
      <c r="S22" s="289"/>
      <c r="T22" s="290">
        <v>1</v>
      </c>
      <c r="U22" s="288">
        <v>6</v>
      </c>
      <c r="V22" s="289">
        <v>1</v>
      </c>
      <c r="W22" s="291"/>
      <c r="X22" s="286">
        <v>43160</v>
      </c>
      <c r="Y22" s="286" t="s">
        <v>205</v>
      </c>
      <c r="Z22" s="292"/>
      <c r="AA22" s="293">
        <v>49552</v>
      </c>
      <c r="AB22" s="293" t="s">
        <v>210</v>
      </c>
      <c r="AC22" s="293">
        <v>1772270</v>
      </c>
      <c r="AD22" s="294"/>
      <c r="AE22" s="294"/>
      <c r="AF22" s="294">
        <v>17</v>
      </c>
      <c r="AG22" s="294">
        <v>28</v>
      </c>
      <c r="AH22" s="294"/>
      <c r="AI22" s="295">
        <v>20</v>
      </c>
      <c r="AJ22" s="356">
        <v>553410</v>
      </c>
      <c r="AK22" s="295"/>
      <c r="AL22" s="295"/>
      <c r="AM22" s="295"/>
      <c r="AN22" s="295"/>
      <c r="AO22" s="295"/>
      <c r="AP22" s="294"/>
      <c r="AQ22" s="295">
        <v>300000</v>
      </c>
      <c r="AR22" s="294"/>
      <c r="AS22" s="294"/>
      <c r="AT22" s="294"/>
      <c r="AU22" s="294"/>
      <c r="AV22" s="356">
        <v>138230</v>
      </c>
      <c r="AW22" s="294"/>
      <c r="AX22" s="294"/>
      <c r="AY22" s="294"/>
      <c r="AZ22" s="294"/>
      <c r="BA22" s="296"/>
      <c r="BB22" s="294">
        <f t="shared" si="0"/>
        <v>991640</v>
      </c>
      <c r="BC22" s="393"/>
      <c r="BD22" s="393"/>
      <c r="BE22" s="297"/>
      <c r="BF22" s="298"/>
      <c r="BG22" s="299">
        <v>43920</v>
      </c>
      <c r="BH22" s="299">
        <v>33490</v>
      </c>
      <c r="BI22" s="299">
        <v>3850</v>
      </c>
      <c r="BJ22" s="299"/>
      <c r="BK22" s="299">
        <v>6880</v>
      </c>
      <c r="BL22" s="293"/>
      <c r="BM22" s="293"/>
      <c r="BN22" s="300"/>
      <c r="BO22" s="300"/>
      <c r="BP22" s="294"/>
      <c r="BQ22" s="294">
        <f t="shared" si="1"/>
        <v>88140</v>
      </c>
      <c r="BR22" s="294">
        <f t="shared" si="2"/>
        <v>903500</v>
      </c>
    </row>
    <row r="23" spans="1:70" s="96" customFormat="1" ht="15.95" customHeight="1">
      <c r="A23" s="468">
        <v>2</v>
      </c>
      <c r="B23" s="282"/>
      <c r="C23" s="282"/>
      <c r="D23" s="283"/>
      <c r="E23" s="284"/>
      <c r="F23" s="285" t="s">
        <v>203</v>
      </c>
      <c r="G23" s="282">
        <v>366</v>
      </c>
      <c r="H23" s="282" t="s">
        <v>211</v>
      </c>
      <c r="I23" s="286">
        <v>43160</v>
      </c>
      <c r="J23" s="286">
        <v>43160</v>
      </c>
      <c r="K23" s="287">
        <v>2</v>
      </c>
      <c r="L23" s="288">
        <v>0</v>
      </c>
      <c r="M23" s="289">
        <v>0</v>
      </c>
      <c r="N23" s="287">
        <v>1</v>
      </c>
      <c r="O23" s="288">
        <v>6</v>
      </c>
      <c r="P23" s="289">
        <v>1</v>
      </c>
      <c r="Q23" s="287"/>
      <c r="R23" s="288"/>
      <c r="S23" s="289"/>
      <c r="T23" s="290">
        <v>1</v>
      </c>
      <c r="U23" s="288">
        <v>6</v>
      </c>
      <c r="V23" s="289">
        <v>1</v>
      </c>
      <c r="W23" s="291"/>
      <c r="X23" s="286">
        <v>43160</v>
      </c>
      <c r="Y23" s="286" t="s">
        <v>205</v>
      </c>
      <c r="Z23" s="292"/>
      <c r="AA23" s="293">
        <v>41517</v>
      </c>
      <c r="AB23" s="293" t="s">
        <v>212</v>
      </c>
      <c r="AC23" s="293">
        <v>1772270</v>
      </c>
      <c r="AD23" s="294"/>
      <c r="AE23" s="294"/>
      <c r="AF23" s="294">
        <v>17</v>
      </c>
      <c r="AG23" s="294">
        <v>28</v>
      </c>
      <c r="AH23" s="294"/>
      <c r="AI23" s="295">
        <v>20</v>
      </c>
      <c r="AJ23" s="356">
        <v>553410</v>
      </c>
      <c r="AK23" s="295"/>
      <c r="AL23" s="295"/>
      <c r="AM23" s="295"/>
      <c r="AN23" s="295"/>
      <c r="AO23" s="295"/>
      <c r="AP23" s="294"/>
      <c r="AQ23" s="295">
        <v>300000</v>
      </c>
      <c r="AR23" s="294"/>
      <c r="AS23" s="294">
        <v>20000</v>
      </c>
      <c r="AT23" s="294"/>
      <c r="AU23" s="294"/>
      <c r="AV23" s="356">
        <v>138230</v>
      </c>
      <c r="AW23" s="294"/>
      <c r="AX23" s="294"/>
      <c r="AY23" s="294"/>
      <c r="AZ23" s="294"/>
      <c r="BA23" s="296"/>
      <c r="BB23" s="294">
        <f t="shared" si="0"/>
        <v>1011640</v>
      </c>
      <c r="BC23" s="393"/>
      <c r="BD23" s="393"/>
      <c r="BE23" s="297"/>
      <c r="BF23" s="298"/>
      <c r="BG23" s="299">
        <v>43920</v>
      </c>
      <c r="BH23" s="299">
        <v>33490</v>
      </c>
      <c r="BI23" s="299">
        <v>3850</v>
      </c>
      <c r="BJ23" s="299"/>
      <c r="BK23" s="299">
        <v>6980</v>
      </c>
      <c r="BL23" s="293"/>
      <c r="BM23" s="293"/>
      <c r="BN23" s="300"/>
      <c r="BO23" s="300"/>
      <c r="BP23" s="294"/>
      <c r="BQ23" s="294">
        <f t="shared" si="1"/>
        <v>88240</v>
      </c>
      <c r="BR23" s="294">
        <f t="shared" si="2"/>
        <v>923400</v>
      </c>
    </row>
    <row r="24" spans="1:70" s="96" customFormat="1" ht="15.95" customHeight="1">
      <c r="A24" s="468">
        <v>2</v>
      </c>
      <c r="B24" s="282"/>
      <c r="C24" s="282"/>
      <c r="D24" s="283"/>
      <c r="E24" s="284"/>
      <c r="F24" s="285" t="s">
        <v>207</v>
      </c>
      <c r="G24" s="282">
        <v>200</v>
      </c>
      <c r="H24" s="282"/>
      <c r="I24" s="286">
        <v>41605</v>
      </c>
      <c r="J24" s="286">
        <v>41605</v>
      </c>
      <c r="K24" s="287">
        <v>6</v>
      </c>
      <c r="L24" s="288">
        <v>3</v>
      </c>
      <c r="M24" s="289">
        <v>3</v>
      </c>
      <c r="N24" s="287">
        <v>5</v>
      </c>
      <c r="O24" s="288">
        <v>9</v>
      </c>
      <c r="P24" s="289">
        <v>5</v>
      </c>
      <c r="Q24" s="287"/>
      <c r="R24" s="288"/>
      <c r="S24" s="289"/>
      <c r="T24" s="290">
        <v>5</v>
      </c>
      <c r="U24" s="288">
        <v>9</v>
      </c>
      <c r="V24" s="289">
        <v>5</v>
      </c>
      <c r="W24" s="291" t="s">
        <v>213</v>
      </c>
      <c r="X24" s="286"/>
      <c r="Y24" s="286" t="s">
        <v>205</v>
      </c>
      <c r="Z24" s="292"/>
      <c r="AA24" s="293"/>
      <c r="AB24" s="293" t="s">
        <v>214</v>
      </c>
      <c r="AC24" s="293">
        <v>35000</v>
      </c>
      <c r="AD24" s="294"/>
      <c r="AE24" s="294"/>
      <c r="AF24" s="294">
        <v>28</v>
      </c>
      <c r="AG24" s="294">
        <v>28</v>
      </c>
      <c r="AH24" s="294"/>
      <c r="AI24" s="295">
        <v>20</v>
      </c>
      <c r="AJ24" s="356">
        <v>1058750</v>
      </c>
      <c r="AK24" s="295"/>
      <c r="AL24" s="295"/>
      <c r="AM24" s="294">
        <v>125000</v>
      </c>
      <c r="AN24" s="294">
        <v>37500</v>
      </c>
      <c r="AO24" s="295"/>
      <c r="AP24" s="294"/>
      <c r="AQ24" s="295">
        <v>635250</v>
      </c>
      <c r="AR24" s="294"/>
      <c r="AS24" s="294">
        <v>70000</v>
      </c>
      <c r="AT24" s="294"/>
      <c r="AU24" s="294"/>
      <c r="AV24" s="356">
        <v>70000</v>
      </c>
      <c r="AW24" s="294"/>
      <c r="AX24" s="294"/>
      <c r="AY24" s="294"/>
      <c r="AZ24" s="294"/>
      <c r="BA24" s="296"/>
      <c r="BB24" s="294">
        <f t="shared" si="0"/>
        <v>1996500</v>
      </c>
      <c r="BC24" s="393"/>
      <c r="BD24" s="393"/>
      <c r="BE24" s="297"/>
      <c r="BF24" s="298"/>
      <c r="BG24" s="299">
        <v>66330</v>
      </c>
      <c r="BH24" s="299">
        <v>50580</v>
      </c>
      <c r="BI24" s="299">
        <v>5820</v>
      </c>
      <c r="BJ24" s="299"/>
      <c r="BK24" s="299">
        <v>11790</v>
      </c>
      <c r="BL24" s="293"/>
      <c r="BM24" s="293"/>
      <c r="BN24" s="300"/>
      <c r="BO24" s="300"/>
      <c r="BP24" s="294"/>
      <c r="BQ24" s="294">
        <f t="shared" si="1"/>
        <v>134520</v>
      </c>
      <c r="BR24" s="294">
        <f t="shared" si="2"/>
        <v>1861980</v>
      </c>
    </row>
    <row r="25" spans="1:70" s="96" customFormat="1" ht="15.95" customHeight="1">
      <c r="A25" s="468">
        <v>2</v>
      </c>
      <c r="B25" s="282"/>
      <c r="C25" s="282"/>
      <c r="D25" s="283"/>
      <c r="E25" s="284"/>
      <c r="F25" s="285" t="s">
        <v>203</v>
      </c>
      <c r="G25" s="282">
        <v>366</v>
      </c>
      <c r="H25" s="282"/>
      <c r="I25" s="286">
        <v>41122</v>
      </c>
      <c r="J25" s="286">
        <v>41122</v>
      </c>
      <c r="K25" s="287">
        <v>7</v>
      </c>
      <c r="L25" s="288">
        <v>7</v>
      </c>
      <c r="M25" s="289">
        <v>0</v>
      </c>
      <c r="N25" s="287">
        <v>7</v>
      </c>
      <c r="O25" s="288">
        <v>1</v>
      </c>
      <c r="P25" s="289">
        <v>1</v>
      </c>
      <c r="Q25" s="287"/>
      <c r="R25" s="288"/>
      <c r="S25" s="289"/>
      <c r="T25" s="290">
        <v>7</v>
      </c>
      <c r="U25" s="288">
        <v>1</v>
      </c>
      <c r="V25" s="289">
        <v>1</v>
      </c>
      <c r="W25" s="291" t="s">
        <v>213</v>
      </c>
      <c r="X25" s="286"/>
      <c r="Y25" s="286" t="s">
        <v>205</v>
      </c>
      <c r="Z25" s="292"/>
      <c r="AA25" s="293"/>
      <c r="AB25" s="293" t="s">
        <v>215</v>
      </c>
      <c r="AC25" s="293">
        <v>500000</v>
      </c>
      <c r="AD25" s="294"/>
      <c r="AE25" s="294"/>
      <c r="AF25" s="294">
        <v>28</v>
      </c>
      <c r="AG25" s="294">
        <v>28</v>
      </c>
      <c r="AH25" s="294"/>
      <c r="AI25" s="295">
        <v>40</v>
      </c>
      <c r="AJ25" s="356">
        <v>2700000</v>
      </c>
      <c r="AK25" s="294">
        <v>100000</v>
      </c>
      <c r="AL25" s="295"/>
      <c r="AM25" s="295"/>
      <c r="AN25" s="295"/>
      <c r="AO25" s="295"/>
      <c r="AP25" s="294"/>
      <c r="AQ25" s="295"/>
      <c r="AR25" s="294"/>
      <c r="AS25" s="294"/>
      <c r="AT25" s="294">
        <v>1300000</v>
      </c>
      <c r="AU25" s="294"/>
      <c r="AV25" s="294"/>
      <c r="AW25" s="294"/>
      <c r="AX25" s="294"/>
      <c r="AY25" s="294"/>
      <c r="AZ25" s="294"/>
      <c r="BA25" s="296"/>
      <c r="BB25" s="294">
        <f t="shared" si="0"/>
        <v>4100000</v>
      </c>
      <c r="BC25" s="294"/>
      <c r="BD25" s="294"/>
      <c r="BE25" s="294">
        <v>407510</v>
      </c>
      <c r="BF25" s="293">
        <v>40810</v>
      </c>
      <c r="BG25" s="299">
        <v>130180</v>
      </c>
      <c r="BH25" s="299">
        <v>100610</v>
      </c>
      <c r="BI25" s="299">
        <v>11590</v>
      </c>
      <c r="BJ25" s="299"/>
      <c r="BK25" s="299"/>
      <c r="BL25" s="293"/>
      <c r="BM25" s="293"/>
      <c r="BN25" s="300"/>
      <c r="BO25" s="300"/>
      <c r="BP25" s="294"/>
      <c r="BQ25" s="294">
        <f t="shared" si="1"/>
        <v>690700</v>
      </c>
      <c r="BR25" s="294">
        <f t="shared" si="2"/>
        <v>3409300</v>
      </c>
    </row>
    <row r="26" spans="1:70" s="96" customFormat="1" ht="15.95" customHeight="1">
      <c r="A26" s="468">
        <v>2</v>
      </c>
      <c r="B26" s="282"/>
      <c r="C26" s="282"/>
      <c r="D26" s="283"/>
      <c r="E26" s="284"/>
      <c r="F26" s="285" t="s">
        <v>216</v>
      </c>
      <c r="G26" s="282">
        <v>366</v>
      </c>
      <c r="H26" s="282"/>
      <c r="I26" s="286">
        <v>41699</v>
      </c>
      <c r="J26" s="286">
        <v>41699</v>
      </c>
      <c r="K26" s="287">
        <v>6</v>
      </c>
      <c r="L26" s="288">
        <v>0</v>
      </c>
      <c r="M26" s="289">
        <v>0</v>
      </c>
      <c r="N26" s="287">
        <v>5</v>
      </c>
      <c r="O26" s="288">
        <v>6</v>
      </c>
      <c r="P26" s="289">
        <v>1</v>
      </c>
      <c r="Q26" s="287"/>
      <c r="R26" s="288"/>
      <c r="S26" s="289"/>
      <c r="T26" s="290">
        <v>5</v>
      </c>
      <c r="U26" s="288">
        <v>6</v>
      </c>
      <c r="V26" s="289">
        <v>1</v>
      </c>
      <c r="W26" s="291" t="s">
        <v>213</v>
      </c>
      <c r="X26" s="286"/>
      <c r="Y26" s="286" t="s">
        <v>205</v>
      </c>
      <c r="Z26" s="292"/>
      <c r="AA26" s="293"/>
      <c r="AB26" s="293" t="s">
        <v>217</v>
      </c>
      <c r="AC26" s="293">
        <v>1998400</v>
      </c>
      <c r="AD26" s="294"/>
      <c r="AE26" s="294"/>
      <c r="AF26" s="294">
        <v>28</v>
      </c>
      <c r="AG26" s="294">
        <v>28</v>
      </c>
      <c r="AH26" s="294"/>
      <c r="AI26" s="295">
        <v>14</v>
      </c>
      <c r="AJ26" s="356">
        <v>560000</v>
      </c>
      <c r="AK26" s="295"/>
      <c r="AL26" s="295"/>
      <c r="AM26" s="295"/>
      <c r="AN26" s="295"/>
      <c r="AO26" s="295"/>
      <c r="AP26" s="294"/>
      <c r="AQ26" s="295"/>
      <c r="AR26" s="294"/>
      <c r="AS26" s="294"/>
      <c r="AT26" s="294"/>
      <c r="AU26" s="294"/>
      <c r="AV26" s="294"/>
      <c r="AW26" s="294"/>
      <c r="AX26" s="294"/>
      <c r="AY26" s="294"/>
      <c r="AZ26" s="294"/>
      <c r="BA26" s="296"/>
      <c r="BB26" s="294">
        <f t="shared" si="0"/>
        <v>560000</v>
      </c>
      <c r="BC26" s="393"/>
      <c r="BD26" s="393"/>
      <c r="BE26" s="297"/>
      <c r="BF26" s="298"/>
      <c r="BG26" s="299"/>
      <c r="BH26" s="299"/>
      <c r="BI26" s="299"/>
      <c r="BJ26" s="299"/>
      <c r="BK26" s="299"/>
      <c r="BL26" s="299"/>
      <c r="BM26" s="300"/>
      <c r="BN26" s="300"/>
      <c r="BO26" s="300"/>
      <c r="BP26" s="294"/>
      <c r="BQ26" s="294">
        <f t="shared" si="1"/>
        <v>0</v>
      </c>
      <c r="BR26" s="294">
        <f t="shared" si="2"/>
        <v>560000</v>
      </c>
    </row>
    <row r="27" spans="1:70" s="105" customFormat="1" ht="15.95" customHeight="1">
      <c r="A27" s="266">
        <v>3</v>
      </c>
      <c r="B27" s="69"/>
      <c r="C27" s="69"/>
      <c r="D27" s="274"/>
      <c r="E27" s="275"/>
      <c r="F27" s="72" t="s">
        <v>203</v>
      </c>
      <c r="G27" s="69">
        <v>365</v>
      </c>
      <c r="H27" s="69" t="s">
        <v>204</v>
      </c>
      <c r="I27" s="74">
        <v>37681</v>
      </c>
      <c r="J27" s="74">
        <v>38047</v>
      </c>
      <c r="K27" s="81">
        <v>17</v>
      </c>
      <c r="L27" s="82">
        <v>0</v>
      </c>
      <c r="M27" s="83">
        <v>0</v>
      </c>
      <c r="N27" s="81">
        <v>17</v>
      </c>
      <c r="O27" s="82">
        <v>0</v>
      </c>
      <c r="P27" s="83">
        <v>1</v>
      </c>
      <c r="Q27" s="81"/>
      <c r="R27" s="82"/>
      <c r="S27" s="83"/>
      <c r="T27" s="84">
        <v>17</v>
      </c>
      <c r="U27" s="82">
        <v>0</v>
      </c>
      <c r="V27" s="83">
        <v>1</v>
      </c>
      <c r="W27" s="106"/>
      <c r="X27" s="74">
        <v>38412</v>
      </c>
      <c r="Y27" s="74" t="s">
        <v>205</v>
      </c>
      <c r="Z27" s="87"/>
      <c r="AA27" s="73">
        <v>52109</v>
      </c>
      <c r="AB27" s="73" t="s">
        <v>206</v>
      </c>
      <c r="AC27" s="73">
        <v>1823000</v>
      </c>
      <c r="AD27" s="91"/>
      <c r="AE27" s="91"/>
      <c r="AF27" s="91">
        <v>31</v>
      </c>
      <c r="AG27" s="91">
        <v>31</v>
      </c>
      <c r="AH27" s="91"/>
      <c r="AI27" s="276">
        <v>27.5</v>
      </c>
      <c r="AJ27" s="91">
        <v>1265000</v>
      </c>
      <c r="AK27" s="91"/>
      <c r="AL27" s="91"/>
      <c r="AM27" s="91"/>
      <c r="AN27" s="91"/>
      <c r="AO27" s="91"/>
      <c r="AP27" s="91"/>
      <c r="AQ27" s="276"/>
      <c r="AR27" s="91"/>
      <c r="AS27" s="91"/>
      <c r="AT27" s="91"/>
      <c r="AU27" s="91"/>
      <c r="AV27" s="91">
        <v>140000</v>
      </c>
      <c r="AW27" s="91"/>
      <c r="AX27" s="91"/>
      <c r="AY27" s="91"/>
      <c r="AZ27" s="277"/>
      <c r="BA27" s="277"/>
      <c r="BB27" s="91">
        <f t="shared" si="0"/>
        <v>1405000</v>
      </c>
      <c r="BC27" s="91"/>
      <c r="BD27" s="91"/>
      <c r="BE27" s="91"/>
      <c r="BF27" s="73"/>
      <c r="BG27" s="278"/>
      <c r="BH27" s="278">
        <v>42920</v>
      </c>
      <c r="BI27" s="278">
        <v>4940</v>
      </c>
      <c r="BJ27" s="278"/>
      <c r="BK27" s="278">
        <v>10010</v>
      </c>
      <c r="BL27" s="73"/>
      <c r="BM27" s="73"/>
      <c r="BN27" s="73"/>
      <c r="BO27" s="91"/>
      <c r="BP27" s="91"/>
      <c r="BQ27" s="371">
        <f t="shared" si="1"/>
        <v>57870</v>
      </c>
      <c r="BR27" s="371">
        <f t="shared" si="2"/>
        <v>1347130</v>
      </c>
    </row>
    <row r="28" spans="1:70" s="105" customFormat="1" ht="15.95" customHeight="1">
      <c r="A28" s="266">
        <v>3</v>
      </c>
      <c r="B28" s="69"/>
      <c r="C28" s="69"/>
      <c r="D28" s="274"/>
      <c r="E28" s="275"/>
      <c r="F28" s="72" t="s">
        <v>207</v>
      </c>
      <c r="G28" s="69">
        <v>285</v>
      </c>
      <c r="H28" s="69" t="s">
        <v>204</v>
      </c>
      <c r="I28" s="74">
        <v>40603</v>
      </c>
      <c r="J28" s="74">
        <v>40603</v>
      </c>
      <c r="K28" s="81">
        <v>10</v>
      </c>
      <c r="L28" s="82">
        <v>0</v>
      </c>
      <c r="M28" s="83">
        <v>0</v>
      </c>
      <c r="N28" s="81">
        <v>9</v>
      </c>
      <c r="O28" s="82">
        <v>0</v>
      </c>
      <c r="P28" s="83">
        <v>1</v>
      </c>
      <c r="Q28" s="81">
        <v>7</v>
      </c>
      <c r="R28" s="82"/>
      <c r="S28" s="83"/>
      <c r="T28" s="84">
        <v>16</v>
      </c>
      <c r="U28" s="82">
        <v>0</v>
      </c>
      <c r="V28" s="83">
        <v>1</v>
      </c>
      <c r="W28" s="106"/>
      <c r="X28" s="74">
        <v>41334</v>
      </c>
      <c r="Y28" s="74" t="s">
        <v>205</v>
      </c>
      <c r="Z28" s="87"/>
      <c r="AA28" s="73">
        <v>45716</v>
      </c>
      <c r="AB28" s="73" t="s">
        <v>206</v>
      </c>
      <c r="AC28" s="73">
        <v>1823000</v>
      </c>
      <c r="AD28" s="91"/>
      <c r="AE28" s="91"/>
      <c r="AF28" s="91">
        <v>31</v>
      </c>
      <c r="AG28" s="91">
        <v>31</v>
      </c>
      <c r="AI28" s="276">
        <v>20</v>
      </c>
      <c r="AJ28" s="91">
        <v>920000</v>
      </c>
      <c r="AK28" s="91"/>
      <c r="AL28" s="91"/>
      <c r="AM28" s="91"/>
      <c r="AN28" s="91"/>
      <c r="AO28" s="91">
        <v>52500</v>
      </c>
      <c r="AP28" s="91"/>
      <c r="AQ28" s="276"/>
      <c r="AR28" s="91"/>
      <c r="AS28" s="91">
        <v>30000</v>
      </c>
      <c r="AT28" s="91"/>
      <c r="AU28" s="91"/>
      <c r="AV28" s="91">
        <v>140000</v>
      </c>
      <c r="AW28" s="91"/>
      <c r="AX28" s="91"/>
      <c r="AY28" s="91"/>
      <c r="AZ28" s="277"/>
      <c r="BA28" s="277"/>
      <c r="BB28" s="91">
        <f t="shared" si="0"/>
        <v>1142500</v>
      </c>
      <c r="BC28" s="91"/>
      <c r="BD28" s="91"/>
      <c r="BE28" s="91"/>
      <c r="BF28" s="73"/>
      <c r="BG28" s="278">
        <v>44910</v>
      </c>
      <c r="BH28" s="278">
        <v>34710</v>
      </c>
      <c r="BI28" s="278">
        <v>3990</v>
      </c>
      <c r="BJ28" s="278"/>
      <c r="BK28" s="278">
        <v>8090</v>
      </c>
      <c r="BL28" s="73"/>
      <c r="BM28" s="73"/>
      <c r="BN28" s="73"/>
      <c r="BO28" s="91"/>
      <c r="BP28" s="91"/>
      <c r="BQ28" s="371">
        <f t="shared" si="1"/>
        <v>91700</v>
      </c>
      <c r="BR28" s="371">
        <f t="shared" si="2"/>
        <v>1050800</v>
      </c>
    </row>
    <row r="29" spans="1:70" s="105" customFormat="1" ht="15.95" customHeight="1">
      <c r="A29" s="266">
        <v>3</v>
      </c>
      <c r="B29" s="69"/>
      <c r="C29" s="69"/>
      <c r="D29" s="274"/>
      <c r="E29" s="275"/>
      <c r="F29" s="72" t="s">
        <v>207</v>
      </c>
      <c r="G29" s="69">
        <v>300</v>
      </c>
      <c r="H29" s="69" t="s">
        <v>204</v>
      </c>
      <c r="I29" s="74">
        <v>34029</v>
      </c>
      <c r="J29" s="74">
        <v>38047</v>
      </c>
      <c r="K29" s="81">
        <v>17</v>
      </c>
      <c r="L29" s="82">
        <v>0</v>
      </c>
      <c r="M29" s="83">
        <v>0</v>
      </c>
      <c r="N29" s="81">
        <v>27</v>
      </c>
      <c r="O29" s="82">
        <v>0</v>
      </c>
      <c r="P29" s="83">
        <v>1</v>
      </c>
      <c r="Q29" s="81"/>
      <c r="R29" s="82"/>
      <c r="S29" s="83"/>
      <c r="T29" s="84">
        <v>27</v>
      </c>
      <c r="U29" s="82">
        <v>0</v>
      </c>
      <c r="V29" s="83">
        <v>1</v>
      </c>
      <c r="W29" s="106"/>
      <c r="X29" s="74">
        <v>39356</v>
      </c>
      <c r="Y29" s="74" t="s">
        <v>205</v>
      </c>
      <c r="Z29" s="87"/>
      <c r="AA29" s="73">
        <v>45535</v>
      </c>
      <c r="AB29" s="73" t="s">
        <v>206</v>
      </c>
      <c r="AC29" s="73">
        <v>1823000</v>
      </c>
      <c r="AD29" s="91"/>
      <c r="AE29" s="91"/>
      <c r="AF29" s="91">
        <v>31</v>
      </c>
      <c r="AG29" s="91">
        <v>31</v>
      </c>
      <c r="AH29" s="91"/>
      <c r="AI29" s="276">
        <v>25</v>
      </c>
      <c r="AJ29" s="91">
        <v>1150000</v>
      </c>
      <c r="AK29" s="91"/>
      <c r="AL29" s="91"/>
      <c r="AM29" s="91"/>
      <c r="AN29" s="91"/>
      <c r="AO29" s="91">
        <v>262500</v>
      </c>
      <c r="AP29" s="91"/>
      <c r="AQ29" s="276"/>
      <c r="AR29" s="91"/>
      <c r="AS29" s="91">
        <v>37500</v>
      </c>
      <c r="AT29" s="91"/>
      <c r="AU29" s="91"/>
      <c r="AV29" s="91">
        <v>140000</v>
      </c>
      <c r="AW29" s="91"/>
      <c r="AX29" s="91"/>
      <c r="AY29" s="91"/>
      <c r="AZ29" s="277"/>
      <c r="BA29" s="277"/>
      <c r="BB29" s="91">
        <f t="shared" si="0"/>
        <v>1590000</v>
      </c>
      <c r="BC29" s="91"/>
      <c r="BD29" s="91"/>
      <c r="BE29" s="91"/>
      <c r="BF29" s="73"/>
      <c r="BG29" s="278">
        <v>67140</v>
      </c>
      <c r="BH29" s="278">
        <v>51880</v>
      </c>
      <c r="BI29" s="278">
        <v>5970</v>
      </c>
      <c r="BJ29" s="278"/>
      <c r="BK29" s="278">
        <v>12100</v>
      </c>
      <c r="BL29" s="73"/>
      <c r="BM29" s="73"/>
      <c r="BN29" s="73"/>
      <c r="BO29" s="91"/>
      <c r="BP29" s="91"/>
      <c r="BQ29" s="371">
        <f t="shared" si="1"/>
        <v>137090</v>
      </c>
      <c r="BR29" s="371">
        <f t="shared" si="2"/>
        <v>1452910</v>
      </c>
    </row>
    <row r="30" spans="1:70" s="105" customFormat="1" ht="15.95" customHeight="1">
      <c r="A30" s="266">
        <v>3</v>
      </c>
      <c r="B30" s="69"/>
      <c r="C30" s="69"/>
      <c r="D30" s="274"/>
      <c r="E30" s="275"/>
      <c r="F30" s="72" t="s">
        <v>207</v>
      </c>
      <c r="G30" s="69">
        <v>300</v>
      </c>
      <c r="H30" s="69" t="s">
        <v>204</v>
      </c>
      <c r="I30" s="74">
        <v>37316</v>
      </c>
      <c r="J30" s="74">
        <v>38047</v>
      </c>
      <c r="K30" s="81">
        <v>17</v>
      </c>
      <c r="L30" s="82">
        <v>0</v>
      </c>
      <c r="M30" s="83">
        <v>0</v>
      </c>
      <c r="N30" s="81">
        <v>18</v>
      </c>
      <c r="O30" s="82">
        <v>0</v>
      </c>
      <c r="P30" s="83">
        <v>1</v>
      </c>
      <c r="Q30" s="81"/>
      <c r="R30" s="82"/>
      <c r="S30" s="83"/>
      <c r="T30" s="84">
        <v>18</v>
      </c>
      <c r="U30" s="82">
        <v>0</v>
      </c>
      <c r="V30" s="83">
        <v>1</v>
      </c>
      <c r="W30" s="106"/>
      <c r="X30" s="74">
        <v>39356</v>
      </c>
      <c r="Y30" s="74" t="s">
        <v>205</v>
      </c>
      <c r="Z30" s="87"/>
      <c r="AA30" s="73">
        <v>45169</v>
      </c>
      <c r="AB30" s="73" t="s">
        <v>206</v>
      </c>
      <c r="AC30" s="73">
        <v>1823000</v>
      </c>
      <c r="AD30" s="91"/>
      <c r="AE30" s="91"/>
      <c r="AF30" s="91">
        <v>31</v>
      </c>
      <c r="AG30" s="91">
        <v>31</v>
      </c>
      <c r="AH30" s="91"/>
      <c r="AI30" s="276">
        <v>40</v>
      </c>
      <c r="AJ30" s="91">
        <v>1840000</v>
      </c>
      <c r="AK30" s="91"/>
      <c r="AL30" s="91"/>
      <c r="AM30" s="91"/>
      <c r="AN30" s="91"/>
      <c r="AO30" s="91">
        <v>700000</v>
      </c>
      <c r="AP30" s="91"/>
      <c r="AQ30" s="276"/>
      <c r="AR30" s="91"/>
      <c r="AS30" s="91">
        <v>40000</v>
      </c>
      <c r="AT30" s="91"/>
      <c r="AU30" s="91">
        <v>50000</v>
      </c>
      <c r="AV30" s="91">
        <v>140000</v>
      </c>
      <c r="AW30" s="91"/>
      <c r="AX30" s="91"/>
      <c r="AY30" s="91"/>
      <c r="AZ30" s="277"/>
      <c r="BA30" s="277"/>
      <c r="BB30" s="91">
        <f t="shared" si="0"/>
        <v>2770000</v>
      </c>
      <c r="BC30" s="91"/>
      <c r="BD30" s="91"/>
      <c r="BE30" s="91"/>
      <c r="BF30" s="73"/>
      <c r="BG30" s="278">
        <v>105660</v>
      </c>
      <c r="BH30" s="278">
        <v>79420</v>
      </c>
      <c r="BI30" s="278">
        <v>8140</v>
      </c>
      <c r="BJ30" s="278"/>
      <c r="BK30" s="278">
        <v>19050</v>
      </c>
      <c r="BL30" s="73"/>
      <c r="BM30" s="73">
        <v>900000</v>
      </c>
      <c r="BN30" s="73"/>
      <c r="BO30" s="91"/>
      <c r="BP30" s="91"/>
      <c r="BQ30" s="371">
        <f t="shared" si="1"/>
        <v>1112270</v>
      </c>
      <c r="BR30" s="371">
        <f t="shared" si="2"/>
        <v>1657730</v>
      </c>
    </row>
    <row r="31" spans="1:70" s="105" customFormat="1" ht="15.95" customHeight="1">
      <c r="A31" s="266">
        <v>3</v>
      </c>
      <c r="B31" s="69"/>
      <c r="C31" s="69"/>
      <c r="D31" s="274"/>
      <c r="E31" s="275"/>
      <c r="F31" s="72" t="s">
        <v>207</v>
      </c>
      <c r="G31" s="69">
        <v>300</v>
      </c>
      <c r="H31" s="69" t="s">
        <v>204</v>
      </c>
      <c r="I31" s="74">
        <v>38412</v>
      </c>
      <c r="J31" s="74">
        <v>38412</v>
      </c>
      <c r="K31" s="81">
        <v>16</v>
      </c>
      <c r="L31" s="82">
        <v>0</v>
      </c>
      <c r="M31" s="83">
        <v>0</v>
      </c>
      <c r="N31" s="81">
        <v>15</v>
      </c>
      <c r="O31" s="82">
        <v>0</v>
      </c>
      <c r="P31" s="83">
        <v>1</v>
      </c>
      <c r="Q31" s="81">
        <v>3</v>
      </c>
      <c r="R31" s="82"/>
      <c r="S31" s="83"/>
      <c r="T31" s="84">
        <v>18</v>
      </c>
      <c r="U31" s="82">
        <v>0</v>
      </c>
      <c r="V31" s="83">
        <v>1</v>
      </c>
      <c r="W31" s="106"/>
      <c r="X31" s="74">
        <v>39356</v>
      </c>
      <c r="Y31" s="74" t="s">
        <v>205</v>
      </c>
      <c r="Z31" s="87"/>
      <c r="AA31" s="73">
        <v>47726</v>
      </c>
      <c r="AB31" s="73" t="s">
        <v>206</v>
      </c>
      <c r="AC31" s="73">
        <v>1823000</v>
      </c>
      <c r="AD31" s="91"/>
      <c r="AE31" s="91"/>
      <c r="AF31" s="91">
        <v>31</v>
      </c>
      <c r="AG31" s="91">
        <v>31</v>
      </c>
      <c r="AH31" s="91"/>
      <c r="AI31" s="276">
        <v>40</v>
      </c>
      <c r="AJ31" s="91">
        <v>1840000</v>
      </c>
      <c r="AK31" s="91"/>
      <c r="AL31" s="91"/>
      <c r="AM31" s="91"/>
      <c r="AN31" s="91"/>
      <c r="AO31" s="91">
        <v>700000</v>
      </c>
      <c r="AP31" s="91"/>
      <c r="AQ31" s="276"/>
      <c r="AR31" s="91"/>
      <c r="AS31" s="91">
        <v>40000</v>
      </c>
      <c r="AT31" s="91"/>
      <c r="AU31" s="91">
        <v>50000</v>
      </c>
      <c r="AV31" s="91">
        <v>140000</v>
      </c>
      <c r="AW31" s="91"/>
      <c r="AX31" s="91"/>
      <c r="AY31" s="91"/>
      <c r="AZ31" s="277"/>
      <c r="BA31" s="277"/>
      <c r="BB31" s="91">
        <f t="shared" si="0"/>
        <v>2770000</v>
      </c>
      <c r="BC31" s="91"/>
      <c r="BD31" s="91"/>
      <c r="BE31" s="91"/>
      <c r="BF31" s="73"/>
      <c r="BG31" s="278">
        <v>109570</v>
      </c>
      <c r="BH31" s="278">
        <v>84690</v>
      </c>
      <c r="BI31" s="278">
        <v>6820</v>
      </c>
      <c r="BJ31" s="278"/>
      <c r="BK31" s="278">
        <v>19750</v>
      </c>
      <c r="BL31" s="73"/>
      <c r="BM31" s="73">
        <v>420000</v>
      </c>
      <c r="BN31" s="73"/>
      <c r="BO31" s="91"/>
      <c r="BP31" s="91"/>
      <c r="BQ31" s="371">
        <f t="shared" si="1"/>
        <v>640830</v>
      </c>
      <c r="BR31" s="371">
        <f t="shared" si="2"/>
        <v>2129170</v>
      </c>
    </row>
    <row r="32" spans="1:70" s="96" customFormat="1" ht="15.95" customHeight="1">
      <c r="A32" s="266">
        <v>3</v>
      </c>
      <c r="B32" s="69"/>
      <c r="C32" s="69"/>
      <c r="D32" s="274"/>
      <c r="E32" s="275"/>
      <c r="F32" s="72" t="s">
        <v>207</v>
      </c>
      <c r="G32" s="69">
        <v>300</v>
      </c>
      <c r="H32" s="69" t="s">
        <v>204</v>
      </c>
      <c r="I32" s="74">
        <v>39321</v>
      </c>
      <c r="J32" s="74">
        <v>39321</v>
      </c>
      <c r="K32" s="81">
        <v>13</v>
      </c>
      <c r="L32" s="82">
        <v>6</v>
      </c>
      <c r="M32" s="83">
        <v>2</v>
      </c>
      <c r="N32" s="81">
        <v>12</v>
      </c>
      <c r="O32" s="82">
        <v>6</v>
      </c>
      <c r="P32" s="83">
        <v>6</v>
      </c>
      <c r="Q32" s="81"/>
      <c r="R32" s="82"/>
      <c r="S32" s="83"/>
      <c r="T32" s="84">
        <v>12</v>
      </c>
      <c r="U32" s="82">
        <v>6</v>
      </c>
      <c r="V32" s="83">
        <v>6</v>
      </c>
      <c r="W32" s="106"/>
      <c r="X32" s="74">
        <v>40725</v>
      </c>
      <c r="Y32" s="74" t="s">
        <v>205</v>
      </c>
      <c r="Z32" s="87"/>
      <c r="AA32" s="73">
        <v>49003</v>
      </c>
      <c r="AB32" s="73" t="s">
        <v>206</v>
      </c>
      <c r="AC32" s="73">
        <v>1823000</v>
      </c>
      <c r="AD32" s="91"/>
      <c r="AE32" s="91"/>
      <c r="AF32" s="91">
        <v>0</v>
      </c>
      <c r="AG32" s="91">
        <v>31</v>
      </c>
      <c r="AH32" s="91"/>
      <c r="AI32" s="276">
        <v>40</v>
      </c>
      <c r="AJ32" s="91">
        <v>0</v>
      </c>
      <c r="AK32" s="276"/>
      <c r="AL32" s="276"/>
      <c r="AM32" s="276"/>
      <c r="AN32" s="276"/>
      <c r="AO32" s="276"/>
      <c r="AP32" s="91"/>
      <c r="AQ32" s="276"/>
      <c r="AR32" s="91"/>
      <c r="AS32" s="91">
        <v>80000</v>
      </c>
      <c r="AT32" s="91"/>
      <c r="AU32" s="91"/>
      <c r="AV32" s="91"/>
      <c r="AW32" s="91"/>
      <c r="AX32" s="91"/>
      <c r="AY32" s="91"/>
      <c r="AZ32" s="277"/>
      <c r="BA32" s="277"/>
      <c r="BB32" s="91">
        <f t="shared" si="0"/>
        <v>80000</v>
      </c>
      <c r="BC32" s="91"/>
      <c r="BD32" s="91"/>
      <c r="BE32" s="301"/>
      <c r="BF32" s="278"/>
      <c r="BG32" s="278"/>
      <c r="BH32" s="278"/>
      <c r="BI32" s="278"/>
      <c r="BJ32" s="278"/>
      <c r="BK32" s="278"/>
      <c r="BL32" s="302"/>
      <c r="BM32" s="73"/>
      <c r="BN32" s="302"/>
      <c r="BO32" s="91"/>
      <c r="BP32" s="91"/>
      <c r="BQ32" s="371">
        <f t="shared" si="1"/>
        <v>0</v>
      </c>
      <c r="BR32" s="371">
        <f t="shared" si="2"/>
        <v>80000</v>
      </c>
    </row>
    <row r="33" spans="1:70" s="96" customFormat="1" ht="15.95" customHeight="1">
      <c r="A33" s="266">
        <v>3</v>
      </c>
      <c r="B33" s="69"/>
      <c r="C33" s="69"/>
      <c r="D33" s="274"/>
      <c r="E33" s="275"/>
      <c r="F33" s="72" t="s">
        <v>203</v>
      </c>
      <c r="G33" s="69">
        <v>365</v>
      </c>
      <c r="H33" s="69" t="s">
        <v>208</v>
      </c>
      <c r="I33" s="74">
        <v>43374</v>
      </c>
      <c r="J33" s="74">
        <v>43374</v>
      </c>
      <c r="K33" s="81">
        <v>2</v>
      </c>
      <c r="L33" s="82">
        <v>5</v>
      </c>
      <c r="M33" s="83">
        <v>0</v>
      </c>
      <c r="N33" s="81">
        <v>1</v>
      </c>
      <c r="O33" s="82">
        <v>5</v>
      </c>
      <c r="P33" s="83">
        <v>1</v>
      </c>
      <c r="Q33" s="81"/>
      <c r="R33" s="82"/>
      <c r="S33" s="83"/>
      <c r="T33" s="84">
        <v>1</v>
      </c>
      <c r="U33" s="82">
        <v>5</v>
      </c>
      <c r="V33" s="83">
        <v>1</v>
      </c>
      <c r="W33" s="106"/>
      <c r="X33" s="74">
        <v>43374</v>
      </c>
      <c r="Y33" s="74" t="s">
        <v>205</v>
      </c>
      <c r="Z33" s="87"/>
      <c r="AA33" s="73">
        <v>44985</v>
      </c>
      <c r="AB33" s="73" t="s">
        <v>209</v>
      </c>
      <c r="AC33" s="73">
        <v>1823000</v>
      </c>
      <c r="AD33" s="91"/>
      <c r="AE33" s="91"/>
      <c r="AF33" s="91">
        <v>31</v>
      </c>
      <c r="AG33" s="91">
        <v>31</v>
      </c>
      <c r="AH33" s="91"/>
      <c r="AI33" s="276">
        <v>40</v>
      </c>
      <c r="AJ33" s="91">
        <v>1840000</v>
      </c>
      <c r="AK33" s="276"/>
      <c r="AL33" s="276"/>
      <c r="AM33" s="276"/>
      <c r="AN33" s="276"/>
      <c r="AO33" s="276">
        <v>700000</v>
      </c>
      <c r="AP33" s="91"/>
      <c r="AQ33" s="276"/>
      <c r="AR33" s="91"/>
      <c r="AS33" s="91"/>
      <c r="AT33" s="91"/>
      <c r="AU33" s="91">
        <v>50000</v>
      </c>
      <c r="AV33" s="91">
        <v>140000</v>
      </c>
      <c r="AW33" s="91"/>
      <c r="AX33" s="91"/>
      <c r="AY33" s="91"/>
      <c r="AZ33" s="277"/>
      <c r="BA33" s="277"/>
      <c r="BB33" s="91">
        <f t="shared" si="0"/>
        <v>2730000</v>
      </c>
      <c r="BC33" s="91"/>
      <c r="BD33" s="91"/>
      <c r="BE33" s="301"/>
      <c r="BF33" s="278"/>
      <c r="BG33" s="278">
        <v>108450</v>
      </c>
      <c r="BH33" s="278">
        <v>83840</v>
      </c>
      <c r="BI33" s="278">
        <v>9650</v>
      </c>
      <c r="BJ33" s="278"/>
      <c r="BK33" s="278">
        <v>20800</v>
      </c>
      <c r="BL33" s="302"/>
      <c r="BM33" s="73">
        <v>600000</v>
      </c>
      <c r="BN33" s="302"/>
      <c r="BO33" s="91"/>
      <c r="BP33" s="91"/>
      <c r="BQ33" s="371">
        <f t="shared" si="1"/>
        <v>822740</v>
      </c>
      <c r="BR33" s="371">
        <f t="shared" si="2"/>
        <v>1907260</v>
      </c>
    </row>
    <row r="34" spans="1:70" s="96" customFormat="1" ht="15.95" customHeight="1">
      <c r="A34" s="266">
        <v>3</v>
      </c>
      <c r="B34" s="69"/>
      <c r="C34" s="69"/>
      <c r="D34" s="274"/>
      <c r="E34" s="275"/>
      <c r="F34" s="72" t="s">
        <v>203</v>
      </c>
      <c r="G34" s="69">
        <v>365</v>
      </c>
      <c r="H34" s="69" t="s">
        <v>204</v>
      </c>
      <c r="I34" s="74">
        <v>43160</v>
      </c>
      <c r="J34" s="74">
        <v>43160</v>
      </c>
      <c r="K34" s="81">
        <v>3</v>
      </c>
      <c r="L34" s="82">
        <v>0</v>
      </c>
      <c r="M34" s="83">
        <v>0</v>
      </c>
      <c r="N34" s="81">
        <v>2</v>
      </c>
      <c r="O34" s="82">
        <v>0</v>
      </c>
      <c r="P34" s="83">
        <v>1</v>
      </c>
      <c r="Q34" s="81"/>
      <c r="R34" s="82"/>
      <c r="S34" s="83"/>
      <c r="T34" s="84">
        <v>2</v>
      </c>
      <c r="U34" s="82">
        <v>0</v>
      </c>
      <c r="V34" s="83">
        <v>1</v>
      </c>
      <c r="W34" s="106"/>
      <c r="X34" s="74">
        <v>43160</v>
      </c>
      <c r="Y34" s="74" t="s">
        <v>205</v>
      </c>
      <c r="Z34" s="87"/>
      <c r="AA34" s="73">
        <v>47907</v>
      </c>
      <c r="AB34" s="73" t="s">
        <v>210</v>
      </c>
      <c r="AC34" s="73">
        <v>1823000</v>
      </c>
      <c r="AD34" s="91"/>
      <c r="AE34" s="91"/>
      <c r="AF34" s="91">
        <v>29</v>
      </c>
      <c r="AG34" s="91">
        <v>31</v>
      </c>
      <c r="AH34" s="91"/>
      <c r="AI34" s="276">
        <v>20</v>
      </c>
      <c r="AJ34" s="91">
        <v>860640</v>
      </c>
      <c r="AK34" s="276"/>
      <c r="AL34" s="276"/>
      <c r="AM34" s="276"/>
      <c r="AN34" s="276"/>
      <c r="AO34" s="276">
        <v>17500</v>
      </c>
      <c r="AP34" s="91"/>
      <c r="AQ34" s="276"/>
      <c r="AR34" s="91"/>
      <c r="AS34" s="91"/>
      <c r="AT34" s="91"/>
      <c r="AU34" s="91"/>
      <c r="AV34" s="91">
        <v>140000</v>
      </c>
      <c r="AW34" s="91"/>
      <c r="AX34" s="91"/>
      <c r="AY34" s="91"/>
      <c r="AZ34" s="277"/>
      <c r="BA34" s="277"/>
      <c r="BB34" s="91">
        <f t="shared" si="0"/>
        <v>1018140</v>
      </c>
      <c r="BC34" s="91"/>
      <c r="BD34" s="91"/>
      <c r="BE34" s="301"/>
      <c r="BF34" s="278"/>
      <c r="BG34" s="278">
        <v>43920</v>
      </c>
      <c r="BH34" s="278">
        <v>33490</v>
      </c>
      <c r="BI34" s="278">
        <v>3850</v>
      </c>
      <c r="BJ34" s="278"/>
      <c r="BK34" s="278">
        <v>6880</v>
      </c>
      <c r="BL34" s="302"/>
      <c r="BM34" s="73"/>
      <c r="BN34" s="302"/>
      <c r="BO34" s="91"/>
      <c r="BP34" s="91"/>
      <c r="BQ34" s="371">
        <f t="shared" si="1"/>
        <v>88140</v>
      </c>
      <c r="BR34" s="371">
        <f t="shared" si="2"/>
        <v>930000</v>
      </c>
    </row>
    <row r="35" spans="1:70" s="96" customFormat="1" ht="15.95" customHeight="1">
      <c r="A35" s="266">
        <v>3</v>
      </c>
      <c r="B35" s="69"/>
      <c r="C35" s="69"/>
      <c r="D35" s="274"/>
      <c r="E35" s="275"/>
      <c r="F35" s="72" t="s">
        <v>203</v>
      </c>
      <c r="G35" s="69">
        <v>365</v>
      </c>
      <c r="H35" s="69" t="s">
        <v>211</v>
      </c>
      <c r="I35" s="74">
        <v>43160</v>
      </c>
      <c r="J35" s="74">
        <v>43160</v>
      </c>
      <c r="K35" s="81">
        <v>3</v>
      </c>
      <c r="L35" s="82">
        <v>0</v>
      </c>
      <c r="M35" s="83">
        <v>0</v>
      </c>
      <c r="N35" s="81">
        <v>2</v>
      </c>
      <c r="O35" s="82">
        <v>0</v>
      </c>
      <c r="P35" s="83">
        <v>1</v>
      </c>
      <c r="Q35" s="81"/>
      <c r="R35" s="82"/>
      <c r="S35" s="83"/>
      <c r="T35" s="84">
        <v>2</v>
      </c>
      <c r="U35" s="82">
        <v>0</v>
      </c>
      <c r="V35" s="83">
        <v>1</v>
      </c>
      <c r="W35" s="106"/>
      <c r="X35" s="74">
        <v>43160</v>
      </c>
      <c r="Y35" s="74" t="s">
        <v>205</v>
      </c>
      <c r="Z35" s="87"/>
      <c r="AA35" s="73">
        <v>49552</v>
      </c>
      <c r="AB35" s="73" t="s">
        <v>212</v>
      </c>
      <c r="AC35" s="73">
        <v>1823000</v>
      </c>
      <c r="AD35" s="91"/>
      <c r="AE35" s="91"/>
      <c r="AF35" s="91">
        <v>29</v>
      </c>
      <c r="AG35" s="91">
        <v>31</v>
      </c>
      <c r="AH35" s="91"/>
      <c r="AI35" s="276">
        <v>20</v>
      </c>
      <c r="AJ35" s="91">
        <v>860640</v>
      </c>
      <c r="AK35" s="276"/>
      <c r="AL35" s="276"/>
      <c r="AM35" s="276"/>
      <c r="AN35" s="276"/>
      <c r="AO35" s="276">
        <v>17500</v>
      </c>
      <c r="AP35" s="91"/>
      <c r="AQ35" s="276"/>
      <c r="AR35" s="91"/>
      <c r="AS35" s="91">
        <v>20000</v>
      </c>
      <c r="AT35" s="91"/>
      <c r="AU35" s="91"/>
      <c r="AV35" s="91">
        <v>140000</v>
      </c>
      <c r="AW35" s="91"/>
      <c r="AX35" s="91"/>
      <c r="AY35" s="91"/>
      <c r="AZ35" s="277"/>
      <c r="BA35" s="277"/>
      <c r="BB35" s="91">
        <f t="shared" si="0"/>
        <v>1038140</v>
      </c>
      <c r="BC35" s="91"/>
      <c r="BD35" s="91"/>
      <c r="BE35" s="301"/>
      <c r="BF35" s="278"/>
      <c r="BG35" s="278">
        <v>43920</v>
      </c>
      <c r="BH35" s="278">
        <v>33490</v>
      </c>
      <c r="BI35" s="278">
        <v>3850</v>
      </c>
      <c r="BJ35" s="278"/>
      <c r="BK35" s="278">
        <v>6980</v>
      </c>
      <c r="BL35" s="302"/>
      <c r="BM35" s="73"/>
      <c r="BN35" s="302"/>
      <c r="BO35" s="91"/>
      <c r="BP35" s="91"/>
      <c r="BQ35" s="371">
        <f t="shared" si="1"/>
        <v>88240</v>
      </c>
      <c r="BR35" s="371">
        <f t="shared" si="2"/>
        <v>949900</v>
      </c>
    </row>
    <row r="36" spans="1:70" s="96" customFormat="1" ht="15.95" customHeight="1">
      <c r="A36" s="266">
        <v>3</v>
      </c>
      <c r="B36" s="69"/>
      <c r="C36" s="69"/>
      <c r="D36" s="274"/>
      <c r="E36" s="275"/>
      <c r="F36" s="72" t="s">
        <v>207</v>
      </c>
      <c r="G36" s="69">
        <v>200</v>
      </c>
      <c r="H36" s="69"/>
      <c r="I36" s="74">
        <v>41605</v>
      </c>
      <c r="J36" s="74">
        <v>41605</v>
      </c>
      <c r="K36" s="81">
        <v>7</v>
      </c>
      <c r="L36" s="82">
        <v>3</v>
      </c>
      <c r="M36" s="83">
        <v>2</v>
      </c>
      <c r="N36" s="81">
        <v>6</v>
      </c>
      <c r="O36" s="82">
        <v>3</v>
      </c>
      <c r="P36" s="83">
        <v>6</v>
      </c>
      <c r="Q36" s="81"/>
      <c r="R36" s="82"/>
      <c r="S36" s="83"/>
      <c r="T36" s="84">
        <v>6</v>
      </c>
      <c r="U36" s="82">
        <v>3</v>
      </c>
      <c r="V36" s="83">
        <v>6</v>
      </c>
      <c r="W36" s="106" t="s">
        <v>213</v>
      </c>
      <c r="X36" s="74"/>
      <c r="Y36" s="74" t="s">
        <v>205</v>
      </c>
      <c r="Z36" s="87"/>
      <c r="AA36" s="73"/>
      <c r="AB36" s="73" t="s">
        <v>214</v>
      </c>
      <c r="AC36" s="73">
        <v>35000</v>
      </c>
      <c r="AD36" s="91"/>
      <c r="AE36" s="91"/>
      <c r="AF36" s="91">
        <v>31</v>
      </c>
      <c r="AG36" s="91">
        <v>31</v>
      </c>
      <c r="AH36" s="91"/>
      <c r="AI36" s="276">
        <v>20</v>
      </c>
      <c r="AJ36" s="91">
        <v>1069500</v>
      </c>
      <c r="AK36" s="276"/>
      <c r="AL36" s="276"/>
      <c r="AM36" s="276">
        <v>125000</v>
      </c>
      <c r="AN36" s="276">
        <v>35000</v>
      </c>
      <c r="AO36" s="276"/>
      <c r="AP36" s="91">
        <v>33990</v>
      </c>
      <c r="AQ36" s="276"/>
      <c r="AR36" s="91"/>
      <c r="AS36" s="91">
        <v>70000</v>
      </c>
      <c r="AT36" s="91"/>
      <c r="AU36" s="91"/>
      <c r="AV36" s="91">
        <v>70000</v>
      </c>
      <c r="AW36" s="91"/>
      <c r="AX36" s="91"/>
      <c r="AY36" s="91"/>
      <c r="AZ36" s="277"/>
      <c r="BA36" s="277"/>
      <c r="BB36" s="91">
        <f t="shared" si="0"/>
        <v>1403490</v>
      </c>
      <c r="BC36" s="91"/>
      <c r="BD36" s="91"/>
      <c r="BE36" s="301"/>
      <c r="BF36" s="278"/>
      <c r="BG36" s="278">
        <v>66330</v>
      </c>
      <c r="BH36" s="278">
        <v>50580</v>
      </c>
      <c r="BI36" s="278">
        <v>5820</v>
      </c>
      <c r="BJ36" s="278"/>
      <c r="BK36" s="278">
        <v>11790</v>
      </c>
      <c r="BL36" s="302"/>
      <c r="BM36" s="73"/>
      <c r="BN36" s="302"/>
      <c r="BO36" s="91"/>
      <c r="BP36" s="91"/>
      <c r="BQ36" s="371">
        <f t="shared" si="1"/>
        <v>134520</v>
      </c>
      <c r="BR36" s="371">
        <f t="shared" si="2"/>
        <v>1268970</v>
      </c>
    </row>
    <row r="37" spans="1:70" s="96" customFormat="1" ht="15.95" customHeight="1">
      <c r="A37" s="266">
        <v>3</v>
      </c>
      <c r="B37" s="69"/>
      <c r="C37" s="69"/>
      <c r="D37" s="274"/>
      <c r="E37" s="275"/>
      <c r="F37" s="72"/>
      <c r="G37" s="69"/>
      <c r="H37" s="69"/>
      <c r="I37" s="74"/>
      <c r="J37" s="74"/>
      <c r="K37" s="81"/>
      <c r="L37" s="82"/>
      <c r="M37" s="83"/>
      <c r="N37" s="81"/>
      <c r="O37" s="82"/>
      <c r="P37" s="83"/>
      <c r="Q37" s="81"/>
      <c r="R37" s="82"/>
      <c r="S37" s="83"/>
      <c r="T37" s="84"/>
      <c r="U37" s="82"/>
      <c r="V37" s="83"/>
      <c r="W37" s="106"/>
      <c r="X37" s="74"/>
      <c r="Y37" s="74"/>
      <c r="Z37" s="87"/>
      <c r="AA37" s="73"/>
      <c r="AB37" s="73"/>
      <c r="AC37" s="73"/>
      <c r="AD37" s="91"/>
      <c r="AE37" s="91"/>
      <c r="AF37" s="91"/>
      <c r="AG37" s="91"/>
      <c r="AH37" s="91"/>
      <c r="AI37" s="276"/>
      <c r="AJ37" s="91"/>
      <c r="AK37" s="276"/>
      <c r="AL37" s="276"/>
      <c r="AM37" s="276"/>
      <c r="AN37" s="276"/>
      <c r="AO37" s="276"/>
      <c r="AP37" s="91"/>
      <c r="AQ37" s="276"/>
      <c r="AR37" s="91"/>
      <c r="AS37" s="91"/>
      <c r="AT37" s="91"/>
      <c r="AU37" s="91"/>
      <c r="AV37" s="91"/>
      <c r="AW37" s="91"/>
      <c r="AX37" s="91"/>
      <c r="AY37" s="91"/>
      <c r="AZ37" s="277"/>
      <c r="BA37" s="277"/>
      <c r="BB37" s="91"/>
      <c r="BC37" s="91"/>
      <c r="BD37" s="91"/>
      <c r="BE37" s="301"/>
      <c r="BF37" s="278"/>
      <c r="BG37" s="278"/>
      <c r="BH37" s="278"/>
      <c r="BI37" s="278"/>
      <c r="BJ37" s="278"/>
      <c r="BK37" s="278"/>
      <c r="BL37" s="302"/>
      <c r="BM37" s="73"/>
      <c r="BN37" s="302"/>
      <c r="BO37" s="91"/>
      <c r="BP37" s="91"/>
      <c r="BQ37" s="91"/>
      <c r="BR37" s="91"/>
    </row>
    <row r="38" spans="1:70" s="96" customFormat="1" ht="15.95" customHeight="1">
      <c r="A38" s="266">
        <v>3</v>
      </c>
      <c r="B38" s="69"/>
      <c r="C38" s="69"/>
      <c r="D38" s="274"/>
      <c r="E38" s="275"/>
      <c r="F38" s="72" t="s">
        <v>203</v>
      </c>
      <c r="G38" s="69">
        <v>365</v>
      </c>
      <c r="H38" s="69"/>
      <c r="I38" s="74">
        <v>41122</v>
      </c>
      <c r="J38" s="74">
        <v>41122</v>
      </c>
      <c r="K38" s="81">
        <v>8</v>
      </c>
      <c r="L38" s="82">
        <v>7</v>
      </c>
      <c r="M38" s="83">
        <v>0</v>
      </c>
      <c r="N38" s="81">
        <v>7</v>
      </c>
      <c r="O38" s="82">
        <v>7</v>
      </c>
      <c r="P38" s="83">
        <v>1</v>
      </c>
      <c r="Q38" s="81"/>
      <c r="R38" s="82"/>
      <c r="S38" s="83"/>
      <c r="T38" s="84">
        <v>7</v>
      </c>
      <c r="U38" s="82">
        <v>7</v>
      </c>
      <c r="V38" s="83">
        <v>1</v>
      </c>
      <c r="W38" s="106" t="s">
        <v>213</v>
      </c>
      <c r="X38" s="74"/>
      <c r="Y38" s="74" t="s">
        <v>205</v>
      </c>
      <c r="Z38" s="87"/>
      <c r="AA38" s="73"/>
      <c r="AB38" s="73" t="s">
        <v>215</v>
      </c>
      <c r="AC38" s="73">
        <v>520000</v>
      </c>
      <c r="AD38" s="91"/>
      <c r="AE38" s="91"/>
      <c r="AF38" s="91">
        <v>31</v>
      </c>
      <c r="AG38" s="91">
        <v>31</v>
      </c>
      <c r="AH38" s="91"/>
      <c r="AI38" s="276">
        <v>40</v>
      </c>
      <c r="AJ38" s="91">
        <v>2200000</v>
      </c>
      <c r="AK38" s="276">
        <v>100000</v>
      </c>
      <c r="AL38" s="276"/>
      <c r="AM38" s="276"/>
      <c r="AN38" s="276"/>
      <c r="AO38" s="276"/>
      <c r="AP38" s="91"/>
      <c r="AQ38" s="276"/>
      <c r="AR38" s="91"/>
      <c r="AS38" s="91"/>
      <c r="AT38" s="91"/>
      <c r="AU38" s="91"/>
      <c r="AV38" s="91"/>
      <c r="AW38" s="91"/>
      <c r="AX38" s="91"/>
      <c r="AY38" s="91"/>
      <c r="AZ38" s="277"/>
      <c r="BA38" s="277"/>
      <c r="BB38" s="91">
        <f t="shared" si="0"/>
        <v>2300000</v>
      </c>
      <c r="BC38" s="91"/>
      <c r="BD38" s="91"/>
      <c r="BE38" s="301"/>
      <c r="BF38" s="278"/>
      <c r="BG38" s="278">
        <v>103500</v>
      </c>
      <c r="BH38" s="278">
        <v>78890</v>
      </c>
      <c r="BI38" s="278">
        <v>9080</v>
      </c>
      <c r="BJ38" s="278"/>
      <c r="BK38" s="278"/>
      <c r="BL38" s="302"/>
      <c r="BM38" s="73"/>
      <c r="BN38" s="302"/>
      <c r="BO38" s="91"/>
      <c r="BP38" s="91"/>
      <c r="BQ38" s="371">
        <f t="shared" si="1"/>
        <v>191470</v>
      </c>
      <c r="BR38" s="371">
        <f t="shared" si="2"/>
        <v>2108530</v>
      </c>
    </row>
    <row r="39" spans="1:70" s="105" customFormat="1" ht="15.95" customHeight="1">
      <c r="A39" s="266">
        <v>3</v>
      </c>
      <c r="B39" s="69"/>
      <c r="C39" s="69"/>
      <c r="D39" s="274"/>
      <c r="E39" s="275"/>
      <c r="F39" s="72" t="s">
        <v>216</v>
      </c>
      <c r="G39" s="69">
        <v>365</v>
      </c>
      <c r="H39" s="69"/>
      <c r="I39" s="74">
        <v>41699</v>
      </c>
      <c r="J39" s="74">
        <v>41699</v>
      </c>
      <c r="K39" s="81">
        <v>7</v>
      </c>
      <c r="L39" s="82">
        <v>0</v>
      </c>
      <c r="M39" s="83">
        <v>0</v>
      </c>
      <c r="N39" s="81">
        <v>6</v>
      </c>
      <c r="O39" s="82">
        <v>0</v>
      </c>
      <c r="P39" s="83">
        <v>1</v>
      </c>
      <c r="Q39" s="81"/>
      <c r="R39" s="82"/>
      <c r="S39" s="83"/>
      <c r="T39" s="84">
        <v>6</v>
      </c>
      <c r="U39" s="82">
        <v>0</v>
      </c>
      <c r="V39" s="83">
        <v>1</v>
      </c>
      <c r="W39" s="106" t="s">
        <v>213</v>
      </c>
      <c r="X39" s="74"/>
      <c r="Y39" s="74" t="s">
        <v>205</v>
      </c>
      <c r="Z39" s="87"/>
      <c r="AA39" s="73"/>
      <c r="AB39" s="73" t="s">
        <v>217</v>
      </c>
      <c r="AC39" s="73">
        <v>2117500</v>
      </c>
      <c r="AD39" s="91"/>
      <c r="AE39" s="91"/>
      <c r="AF39" s="91">
        <v>31</v>
      </c>
      <c r="AG39" s="91">
        <v>31</v>
      </c>
      <c r="AH39" s="91"/>
      <c r="AI39" s="276">
        <v>14</v>
      </c>
      <c r="AJ39" s="91">
        <v>600000</v>
      </c>
      <c r="AK39" s="91"/>
      <c r="AL39" s="91"/>
      <c r="AM39" s="91"/>
      <c r="AN39" s="91"/>
      <c r="AO39" s="91"/>
      <c r="AP39" s="91"/>
      <c r="AQ39" s="276"/>
      <c r="AR39" s="91"/>
      <c r="AS39" s="91"/>
      <c r="AT39" s="91"/>
      <c r="AU39" s="91"/>
      <c r="AV39" s="91"/>
      <c r="AW39" s="91"/>
      <c r="AX39" s="91"/>
      <c r="AY39" s="91"/>
      <c r="AZ39" s="277"/>
      <c r="BA39" s="277"/>
      <c r="BB39" s="91">
        <f t="shared" si="0"/>
        <v>600000</v>
      </c>
      <c r="BC39" s="91"/>
      <c r="BD39" s="91"/>
      <c r="BE39" s="301"/>
      <c r="BF39" s="278"/>
      <c r="BG39" s="278"/>
      <c r="BH39" s="278"/>
      <c r="BI39" s="278"/>
      <c r="BJ39" s="278"/>
      <c r="BK39" s="278"/>
      <c r="BL39" s="73"/>
      <c r="BM39" s="73"/>
      <c r="BN39" s="73"/>
      <c r="BO39" s="91"/>
      <c r="BP39" s="91"/>
      <c r="BQ39" s="371">
        <f t="shared" si="1"/>
        <v>0</v>
      </c>
      <c r="BR39" s="371">
        <f t="shared" si="2"/>
        <v>600000</v>
      </c>
    </row>
    <row r="40" spans="1:70" s="105" customFormat="1" ht="15.95" customHeight="1">
      <c r="A40" s="266">
        <v>3</v>
      </c>
      <c r="B40" s="69"/>
      <c r="C40" s="69"/>
      <c r="D40" s="274"/>
      <c r="E40" s="275"/>
      <c r="F40" s="72"/>
      <c r="G40" s="69"/>
      <c r="H40" s="69"/>
      <c r="I40" s="74"/>
      <c r="J40" s="74"/>
      <c r="K40" s="81"/>
      <c r="L40" s="82"/>
      <c r="M40" s="83"/>
      <c r="N40" s="81"/>
      <c r="O40" s="82"/>
      <c r="P40" s="83"/>
      <c r="Q40" s="81"/>
      <c r="R40" s="82"/>
      <c r="S40" s="83"/>
      <c r="T40" s="84"/>
      <c r="U40" s="82"/>
      <c r="V40" s="83"/>
      <c r="W40" s="106"/>
      <c r="X40" s="74"/>
      <c r="Y40" s="74"/>
      <c r="Z40" s="87"/>
      <c r="AA40" s="73"/>
      <c r="AB40" s="73"/>
      <c r="AC40" s="73"/>
      <c r="AD40" s="91"/>
      <c r="AE40" s="91"/>
      <c r="AF40" s="91">
        <v>30</v>
      </c>
      <c r="AG40" s="91">
        <v>31</v>
      </c>
      <c r="AH40" s="91"/>
      <c r="AI40" s="276">
        <v>40</v>
      </c>
      <c r="AJ40" s="91">
        <v>1780640</v>
      </c>
      <c r="AK40" s="91"/>
      <c r="AL40" s="91"/>
      <c r="AM40" s="91"/>
      <c r="AN40" s="91"/>
      <c r="AO40" s="91"/>
      <c r="AP40" s="91"/>
      <c r="AQ40" s="276"/>
      <c r="AR40" s="91"/>
      <c r="AS40" s="91"/>
      <c r="AT40" s="91"/>
      <c r="AU40" s="91">
        <v>48380</v>
      </c>
      <c r="AV40" s="91">
        <v>135480</v>
      </c>
      <c r="AW40" s="91"/>
      <c r="AX40" s="91"/>
      <c r="AY40" s="91"/>
      <c r="AZ40" s="277"/>
      <c r="BA40" s="277"/>
      <c r="BB40" s="91">
        <f t="shared" si="0"/>
        <v>1964500</v>
      </c>
      <c r="BC40" s="91"/>
      <c r="BD40" s="91"/>
      <c r="BE40" s="301"/>
      <c r="BF40" s="278"/>
      <c r="BG40" s="278">
        <v>91350</v>
      </c>
      <c r="BH40" s="278">
        <v>69620</v>
      </c>
      <c r="BI40" s="278">
        <v>8020</v>
      </c>
      <c r="BJ40" s="278"/>
      <c r="BK40" s="278">
        <v>16240</v>
      </c>
      <c r="BL40" s="73"/>
      <c r="BM40" s="73"/>
      <c r="BN40" s="73"/>
      <c r="BO40" s="91"/>
      <c r="BP40" s="91"/>
      <c r="BQ40" s="371">
        <f t="shared" si="1"/>
        <v>185230</v>
      </c>
      <c r="BR40" s="371">
        <f t="shared" si="2"/>
        <v>1779270</v>
      </c>
    </row>
    <row r="41" spans="1:70" s="96" customFormat="1" ht="15.95" customHeight="1">
      <c r="A41" s="468">
        <v>4</v>
      </c>
      <c r="B41" s="282"/>
      <c r="C41" s="282"/>
      <c r="D41" s="283"/>
      <c r="E41" s="284"/>
      <c r="F41" s="285" t="s">
        <v>203</v>
      </c>
      <c r="G41" s="282" t="e">
        <v>#N/A</v>
      </c>
      <c r="H41" s="282" t="s">
        <v>204</v>
      </c>
      <c r="I41" s="286">
        <v>37681</v>
      </c>
      <c r="J41" s="286">
        <v>38047</v>
      </c>
      <c r="K41" s="287">
        <v>17</v>
      </c>
      <c r="L41" s="288">
        <v>0</v>
      </c>
      <c r="M41" s="289">
        <v>0</v>
      </c>
      <c r="N41" s="287">
        <v>17</v>
      </c>
      <c r="O41" s="288">
        <v>0</v>
      </c>
      <c r="P41" s="289">
        <v>1</v>
      </c>
      <c r="Q41" s="287"/>
      <c r="R41" s="288"/>
      <c r="S41" s="289"/>
      <c r="T41" s="290">
        <v>17</v>
      </c>
      <c r="U41" s="288">
        <v>0</v>
      </c>
      <c r="V41" s="289">
        <v>1</v>
      </c>
      <c r="W41" s="291"/>
      <c r="X41" s="286">
        <v>38412</v>
      </c>
      <c r="Y41" s="286" t="s">
        <v>205</v>
      </c>
      <c r="Z41" s="292"/>
      <c r="AA41" s="293">
        <v>52109</v>
      </c>
      <c r="AB41" s="293" t="s">
        <v>206</v>
      </c>
      <c r="AC41" s="293">
        <v>1823000</v>
      </c>
      <c r="AD41" s="294"/>
      <c r="AE41" s="294"/>
      <c r="AF41" s="294">
        <v>30</v>
      </c>
      <c r="AG41" s="294">
        <v>30</v>
      </c>
      <c r="AH41" s="294"/>
      <c r="AI41" s="295">
        <v>27.5</v>
      </c>
      <c r="AJ41" s="294">
        <v>1265000</v>
      </c>
      <c r="AK41" s="295"/>
      <c r="AL41" s="295"/>
      <c r="AM41" s="295"/>
      <c r="AN41" s="295"/>
      <c r="AO41" s="295"/>
      <c r="AP41" s="294"/>
      <c r="AQ41" s="295"/>
      <c r="AR41" s="294"/>
      <c r="AS41" s="294"/>
      <c r="AT41" s="294"/>
      <c r="AU41" s="294"/>
      <c r="AV41" s="294">
        <v>140000</v>
      </c>
      <c r="AW41" s="294"/>
      <c r="AX41" s="294"/>
      <c r="AY41" s="294"/>
      <c r="AZ41" s="296"/>
      <c r="BA41" s="294"/>
      <c r="BB41" s="294">
        <f t="shared" si="0"/>
        <v>1405000</v>
      </c>
      <c r="BC41" s="294"/>
      <c r="BD41" s="294"/>
      <c r="BE41" s="304"/>
      <c r="BF41" s="299"/>
      <c r="BG41" s="299"/>
      <c r="BH41" s="299">
        <v>42920</v>
      </c>
      <c r="BI41" s="299">
        <v>4940</v>
      </c>
      <c r="BJ41" s="299"/>
      <c r="BK41" s="299">
        <v>10010</v>
      </c>
      <c r="BL41" s="300"/>
      <c r="BM41" s="300"/>
      <c r="BN41" s="300"/>
      <c r="BO41" s="294"/>
      <c r="BP41" s="294"/>
      <c r="BQ41" s="294">
        <f t="shared" si="1"/>
        <v>57870</v>
      </c>
      <c r="BR41" s="294">
        <f t="shared" si="2"/>
        <v>1347130</v>
      </c>
    </row>
    <row r="42" spans="1:70" s="96" customFormat="1" ht="15.95" customHeight="1">
      <c r="A42" s="468">
        <v>4</v>
      </c>
      <c r="B42" s="282"/>
      <c r="C42" s="282"/>
      <c r="D42" s="283"/>
      <c r="E42" s="284"/>
      <c r="F42" s="285" t="s">
        <v>207</v>
      </c>
      <c r="G42" s="282">
        <v>285</v>
      </c>
      <c r="H42" s="282" t="s">
        <v>204</v>
      </c>
      <c r="I42" s="286">
        <v>40603</v>
      </c>
      <c r="J42" s="286">
        <v>40603</v>
      </c>
      <c r="K42" s="287">
        <v>10</v>
      </c>
      <c r="L42" s="288">
        <v>0</v>
      </c>
      <c r="M42" s="289">
        <v>0</v>
      </c>
      <c r="N42" s="287">
        <v>9</v>
      </c>
      <c r="O42" s="288">
        <v>0</v>
      </c>
      <c r="P42" s="289">
        <v>1</v>
      </c>
      <c r="Q42" s="287">
        <v>7</v>
      </c>
      <c r="R42" s="288"/>
      <c r="S42" s="289"/>
      <c r="T42" s="290">
        <v>16</v>
      </c>
      <c r="U42" s="288">
        <v>0</v>
      </c>
      <c r="V42" s="289">
        <v>1</v>
      </c>
      <c r="W42" s="291"/>
      <c r="X42" s="286">
        <v>41334</v>
      </c>
      <c r="Y42" s="286" t="s">
        <v>205</v>
      </c>
      <c r="Z42" s="292"/>
      <c r="AA42" s="293">
        <v>45716</v>
      </c>
      <c r="AB42" s="293" t="s">
        <v>206</v>
      </c>
      <c r="AC42" s="293">
        <v>1823000</v>
      </c>
      <c r="AD42" s="294"/>
      <c r="AE42" s="294"/>
      <c r="AF42" s="294">
        <v>30</v>
      </c>
      <c r="AG42" s="294">
        <v>30</v>
      </c>
      <c r="AH42" s="294"/>
      <c r="AI42" s="295">
        <v>20</v>
      </c>
      <c r="AJ42" s="294">
        <v>920000</v>
      </c>
      <c r="AK42" s="295"/>
      <c r="AL42" s="295"/>
      <c r="AM42" s="295"/>
      <c r="AN42" s="295"/>
      <c r="AO42" s="294">
        <v>52500</v>
      </c>
      <c r="AP42" s="294"/>
      <c r="AQ42" s="295"/>
      <c r="AR42" s="294"/>
      <c r="AS42" s="294">
        <v>30000</v>
      </c>
      <c r="AT42" s="294"/>
      <c r="AU42" s="294"/>
      <c r="AV42" s="294">
        <v>140000</v>
      </c>
      <c r="AW42" s="294"/>
      <c r="AX42" s="294"/>
      <c r="AY42" s="294"/>
      <c r="AZ42" s="296"/>
      <c r="BA42" s="294"/>
      <c r="BB42" s="294">
        <f t="shared" si="0"/>
        <v>1142500</v>
      </c>
      <c r="BC42" s="294"/>
      <c r="BD42" s="294"/>
      <c r="BE42" s="304"/>
      <c r="BF42" s="299"/>
      <c r="BG42" s="299">
        <v>44910</v>
      </c>
      <c r="BH42" s="299">
        <v>34710</v>
      </c>
      <c r="BI42" s="299">
        <v>3990</v>
      </c>
      <c r="BJ42" s="299"/>
      <c r="BK42" s="299">
        <v>8090</v>
      </c>
      <c r="BL42" s="300"/>
      <c r="BM42" s="300"/>
      <c r="BN42" s="300"/>
      <c r="BO42" s="294"/>
      <c r="BP42" s="294"/>
      <c r="BQ42" s="294">
        <f t="shared" si="1"/>
        <v>91700</v>
      </c>
      <c r="BR42" s="294">
        <f t="shared" si="2"/>
        <v>1050800</v>
      </c>
    </row>
    <row r="43" spans="1:70" s="96" customFormat="1" ht="15.95" customHeight="1">
      <c r="A43" s="468">
        <v>4</v>
      </c>
      <c r="B43" s="282"/>
      <c r="C43" s="282"/>
      <c r="D43" s="283"/>
      <c r="E43" s="284"/>
      <c r="F43" s="285" t="s">
        <v>207</v>
      </c>
      <c r="G43" s="282">
        <v>300</v>
      </c>
      <c r="H43" s="282" t="s">
        <v>204</v>
      </c>
      <c r="I43" s="286">
        <v>34029</v>
      </c>
      <c r="J43" s="286">
        <v>38047</v>
      </c>
      <c r="K43" s="287">
        <v>17</v>
      </c>
      <c r="L43" s="288">
        <v>0</v>
      </c>
      <c r="M43" s="289">
        <v>0</v>
      </c>
      <c r="N43" s="287">
        <v>27</v>
      </c>
      <c r="O43" s="288">
        <v>0</v>
      </c>
      <c r="P43" s="289">
        <v>1</v>
      </c>
      <c r="Q43" s="287"/>
      <c r="R43" s="288"/>
      <c r="S43" s="289"/>
      <c r="T43" s="290">
        <v>27</v>
      </c>
      <c r="U43" s="288">
        <v>0</v>
      </c>
      <c r="V43" s="289">
        <v>1</v>
      </c>
      <c r="W43" s="291"/>
      <c r="X43" s="286">
        <v>39356</v>
      </c>
      <c r="Y43" s="286" t="s">
        <v>205</v>
      </c>
      <c r="Z43" s="292"/>
      <c r="AA43" s="293">
        <v>45535</v>
      </c>
      <c r="AB43" s="293" t="s">
        <v>206</v>
      </c>
      <c r="AC43" s="293">
        <v>1823000</v>
      </c>
      <c r="AD43" s="294"/>
      <c r="AE43" s="294"/>
      <c r="AF43" s="294">
        <v>30</v>
      </c>
      <c r="AG43" s="294">
        <v>30</v>
      </c>
      <c r="AH43" s="294"/>
      <c r="AI43" s="295">
        <v>25</v>
      </c>
      <c r="AJ43" s="294">
        <v>1150000</v>
      </c>
      <c r="AK43" s="295"/>
      <c r="AL43" s="295"/>
      <c r="AM43" s="295"/>
      <c r="AN43" s="295"/>
      <c r="AO43" s="294">
        <v>262500</v>
      </c>
      <c r="AP43" s="294"/>
      <c r="AQ43" s="295"/>
      <c r="AR43" s="294"/>
      <c r="AS43" s="294">
        <v>37500</v>
      </c>
      <c r="AT43" s="294"/>
      <c r="AU43" s="294"/>
      <c r="AV43" s="294">
        <v>140000</v>
      </c>
      <c r="AW43" s="294"/>
      <c r="AX43" s="294"/>
      <c r="AY43" s="294"/>
      <c r="AZ43" s="296"/>
      <c r="BA43" s="294"/>
      <c r="BB43" s="294">
        <f t="shared" si="0"/>
        <v>1590000</v>
      </c>
      <c r="BC43" s="294"/>
      <c r="BD43" s="294"/>
      <c r="BE43" s="304"/>
      <c r="BF43" s="299"/>
      <c r="BG43" s="299">
        <v>67140</v>
      </c>
      <c r="BH43" s="299">
        <v>51880</v>
      </c>
      <c r="BI43" s="299">
        <v>5970</v>
      </c>
      <c r="BJ43" s="299"/>
      <c r="BK43" s="299">
        <v>12100</v>
      </c>
      <c r="BL43" s="300"/>
      <c r="BM43" s="300"/>
      <c r="BN43" s="300"/>
      <c r="BO43" s="294"/>
      <c r="BP43" s="294"/>
      <c r="BQ43" s="294">
        <f t="shared" si="1"/>
        <v>137090</v>
      </c>
      <c r="BR43" s="294">
        <f t="shared" si="2"/>
        <v>1452910</v>
      </c>
    </row>
    <row r="44" spans="1:70" s="96" customFormat="1" ht="15.95" customHeight="1">
      <c r="A44" s="468">
        <v>4</v>
      </c>
      <c r="B44" s="282"/>
      <c r="C44" s="282"/>
      <c r="D44" s="283"/>
      <c r="E44" s="284"/>
      <c r="F44" s="285" t="s">
        <v>207</v>
      </c>
      <c r="G44" s="282">
        <v>300</v>
      </c>
      <c r="H44" s="282" t="s">
        <v>204</v>
      </c>
      <c r="I44" s="286">
        <v>37316</v>
      </c>
      <c r="J44" s="286">
        <v>38047</v>
      </c>
      <c r="K44" s="287">
        <v>17</v>
      </c>
      <c r="L44" s="288">
        <v>0</v>
      </c>
      <c r="M44" s="289">
        <v>0</v>
      </c>
      <c r="N44" s="287">
        <v>18</v>
      </c>
      <c r="O44" s="288">
        <v>0</v>
      </c>
      <c r="P44" s="289">
        <v>1</v>
      </c>
      <c r="Q44" s="287"/>
      <c r="R44" s="288"/>
      <c r="S44" s="289"/>
      <c r="T44" s="290">
        <v>18</v>
      </c>
      <c r="U44" s="288">
        <v>0</v>
      </c>
      <c r="V44" s="289">
        <v>1</v>
      </c>
      <c r="W44" s="291"/>
      <c r="X44" s="286">
        <v>39356</v>
      </c>
      <c r="Y44" s="286" t="s">
        <v>205</v>
      </c>
      <c r="Z44" s="292"/>
      <c r="AA44" s="293">
        <v>45169</v>
      </c>
      <c r="AB44" s="293" t="s">
        <v>206</v>
      </c>
      <c r="AC44" s="293">
        <v>1823000</v>
      </c>
      <c r="AD44" s="294"/>
      <c r="AE44" s="294"/>
      <c r="AF44" s="294">
        <v>30</v>
      </c>
      <c r="AG44" s="294">
        <v>30</v>
      </c>
      <c r="AH44" s="294"/>
      <c r="AI44" s="295">
        <v>40</v>
      </c>
      <c r="AJ44" s="294">
        <v>1840000</v>
      </c>
      <c r="AK44" s="295"/>
      <c r="AL44" s="295"/>
      <c r="AM44" s="295"/>
      <c r="AN44" s="295"/>
      <c r="AO44" s="294">
        <v>700000</v>
      </c>
      <c r="AP44" s="294"/>
      <c r="AQ44" s="295"/>
      <c r="AR44" s="294"/>
      <c r="AS44" s="294">
        <v>40000</v>
      </c>
      <c r="AT44" s="294"/>
      <c r="AU44" s="294">
        <v>50000</v>
      </c>
      <c r="AV44" s="294">
        <v>140000</v>
      </c>
      <c r="AW44" s="294"/>
      <c r="AX44" s="294"/>
      <c r="AY44" s="294"/>
      <c r="AZ44" s="296"/>
      <c r="BA44" s="294"/>
      <c r="BB44" s="294">
        <f t="shared" si="0"/>
        <v>2770000</v>
      </c>
      <c r="BC44" s="294"/>
      <c r="BD44" s="294"/>
      <c r="BE44" s="304"/>
      <c r="BF44" s="299"/>
      <c r="BG44" s="299">
        <v>105660</v>
      </c>
      <c r="BH44" s="299">
        <v>83940</v>
      </c>
      <c r="BI44" s="299">
        <v>10660</v>
      </c>
      <c r="BJ44" s="299"/>
      <c r="BK44" s="299">
        <v>19050</v>
      </c>
      <c r="BL44" s="300"/>
      <c r="BM44" s="293">
        <v>900000</v>
      </c>
      <c r="BN44" s="300"/>
      <c r="BO44" s="294"/>
      <c r="BP44" s="294"/>
      <c r="BQ44" s="294">
        <f t="shared" si="1"/>
        <v>1119310</v>
      </c>
      <c r="BR44" s="294">
        <f t="shared" si="2"/>
        <v>1650690</v>
      </c>
    </row>
    <row r="45" spans="1:70" s="96" customFormat="1" ht="15.95" customHeight="1">
      <c r="A45" s="468">
        <v>4</v>
      </c>
      <c r="B45" s="282"/>
      <c r="C45" s="282"/>
      <c r="D45" s="283"/>
      <c r="E45" s="284"/>
      <c r="F45" s="285" t="s">
        <v>207</v>
      </c>
      <c r="G45" s="282">
        <v>300</v>
      </c>
      <c r="H45" s="282" t="s">
        <v>204</v>
      </c>
      <c r="I45" s="286">
        <v>38412</v>
      </c>
      <c r="J45" s="286">
        <v>38412</v>
      </c>
      <c r="K45" s="287">
        <v>16</v>
      </c>
      <c r="L45" s="288">
        <v>0</v>
      </c>
      <c r="M45" s="289">
        <v>0</v>
      </c>
      <c r="N45" s="287">
        <v>15</v>
      </c>
      <c r="O45" s="288">
        <v>0</v>
      </c>
      <c r="P45" s="289">
        <v>1</v>
      </c>
      <c r="Q45" s="287">
        <v>3</v>
      </c>
      <c r="R45" s="288"/>
      <c r="S45" s="289"/>
      <c r="T45" s="290">
        <v>18</v>
      </c>
      <c r="U45" s="288">
        <v>0</v>
      </c>
      <c r="V45" s="289">
        <v>1</v>
      </c>
      <c r="W45" s="291"/>
      <c r="X45" s="286">
        <v>39356</v>
      </c>
      <c r="Y45" s="286" t="s">
        <v>205</v>
      </c>
      <c r="Z45" s="292"/>
      <c r="AA45" s="293">
        <v>47726</v>
      </c>
      <c r="AB45" s="293" t="s">
        <v>206</v>
      </c>
      <c r="AC45" s="293">
        <v>1823000</v>
      </c>
      <c r="AD45" s="294"/>
      <c r="AE45" s="294"/>
      <c r="AF45" s="294">
        <v>30</v>
      </c>
      <c r="AG45" s="294">
        <v>30</v>
      </c>
      <c r="AH45" s="294"/>
      <c r="AI45" s="295">
        <v>40</v>
      </c>
      <c r="AJ45" s="294">
        <v>1840000</v>
      </c>
      <c r="AK45" s="295"/>
      <c r="AL45" s="295"/>
      <c r="AM45" s="295"/>
      <c r="AN45" s="295"/>
      <c r="AO45" s="294">
        <v>700000</v>
      </c>
      <c r="AP45" s="294"/>
      <c r="AQ45" s="295"/>
      <c r="AR45" s="294"/>
      <c r="AS45" s="294">
        <v>40000</v>
      </c>
      <c r="AT45" s="294"/>
      <c r="AU45" s="294">
        <v>50000</v>
      </c>
      <c r="AV45" s="294">
        <v>140000</v>
      </c>
      <c r="AW45" s="294"/>
      <c r="AX45" s="294"/>
      <c r="AY45" s="294"/>
      <c r="AZ45" s="296"/>
      <c r="BA45" s="294"/>
      <c r="BB45" s="294">
        <f t="shared" si="0"/>
        <v>2770000</v>
      </c>
      <c r="BC45" s="294"/>
      <c r="BD45" s="294"/>
      <c r="BE45" s="304"/>
      <c r="BF45" s="299"/>
      <c r="BG45" s="299">
        <v>109570</v>
      </c>
      <c r="BH45" s="299">
        <v>84690</v>
      </c>
      <c r="BI45" s="299">
        <v>6820</v>
      </c>
      <c r="BJ45" s="299"/>
      <c r="BK45" s="299">
        <v>19750</v>
      </c>
      <c r="BL45" s="300"/>
      <c r="BM45" s="293">
        <v>420000</v>
      </c>
      <c r="BN45" s="300"/>
      <c r="BO45" s="294"/>
      <c r="BP45" s="294"/>
      <c r="BQ45" s="294">
        <f t="shared" si="1"/>
        <v>640830</v>
      </c>
      <c r="BR45" s="294">
        <f t="shared" si="2"/>
        <v>2129170</v>
      </c>
    </row>
    <row r="46" spans="1:70" s="96" customFormat="1" ht="15.95" customHeight="1">
      <c r="A46" s="468">
        <v>4</v>
      </c>
      <c r="B46" s="282"/>
      <c r="C46" s="282"/>
      <c r="D46" s="283"/>
      <c r="E46" s="284"/>
      <c r="F46" s="285" t="s">
        <v>207</v>
      </c>
      <c r="G46" s="282">
        <v>300</v>
      </c>
      <c r="H46" s="282" t="s">
        <v>204</v>
      </c>
      <c r="I46" s="286">
        <v>39321</v>
      </c>
      <c r="J46" s="286">
        <v>39321</v>
      </c>
      <c r="K46" s="287">
        <v>13</v>
      </c>
      <c r="L46" s="288">
        <v>6</v>
      </c>
      <c r="M46" s="289">
        <v>2</v>
      </c>
      <c r="N46" s="287">
        <v>12</v>
      </c>
      <c r="O46" s="288">
        <v>6</v>
      </c>
      <c r="P46" s="289">
        <v>6</v>
      </c>
      <c r="Q46" s="287"/>
      <c r="R46" s="288"/>
      <c r="S46" s="289"/>
      <c r="T46" s="290">
        <v>12</v>
      </c>
      <c r="U46" s="288">
        <v>6</v>
      </c>
      <c r="V46" s="289">
        <v>6</v>
      </c>
      <c r="W46" s="291"/>
      <c r="X46" s="286">
        <v>40725</v>
      </c>
      <c r="Y46" s="286" t="s">
        <v>205</v>
      </c>
      <c r="Z46" s="292"/>
      <c r="AA46" s="293">
        <v>49003</v>
      </c>
      <c r="AB46" s="293" t="s">
        <v>206</v>
      </c>
      <c r="AC46" s="293">
        <v>1823000</v>
      </c>
      <c r="AD46" s="294"/>
      <c r="AE46" s="294"/>
      <c r="AF46" s="294">
        <v>0</v>
      </c>
      <c r="AG46" s="294">
        <v>30</v>
      </c>
      <c r="AH46" s="294"/>
      <c r="AI46" s="295">
        <v>40</v>
      </c>
      <c r="AJ46" s="294">
        <v>0</v>
      </c>
      <c r="AK46" s="295"/>
      <c r="AL46" s="295"/>
      <c r="AM46" s="295"/>
      <c r="AN46" s="295"/>
      <c r="AO46" s="295"/>
      <c r="AP46" s="294"/>
      <c r="AQ46" s="295"/>
      <c r="AR46" s="294"/>
      <c r="AS46" s="294">
        <v>40000</v>
      </c>
      <c r="AT46" s="294"/>
      <c r="AU46" s="294"/>
      <c r="AV46" s="294">
        <v>0</v>
      </c>
      <c r="AW46" s="294"/>
      <c r="AX46" s="294"/>
      <c r="AY46" s="294"/>
      <c r="AZ46" s="296"/>
      <c r="BA46" s="294"/>
      <c r="BB46" s="294">
        <f t="shared" si="0"/>
        <v>40000</v>
      </c>
      <c r="BC46" s="294"/>
      <c r="BD46" s="294"/>
      <c r="BE46" s="304"/>
      <c r="BF46" s="299"/>
      <c r="BG46" s="299"/>
      <c r="BH46" s="299"/>
      <c r="BI46" s="299"/>
      <c r="BJ46" s="299"/>
      <c r="BK46" s="299"/>
      <c r="BL46" s="300"/>
      <c r="BM46" s="293"/>
      <c r="BN46" s="300"/>
      <c r="BO46" s="294"/>
      <c r="BP46" s="294"/>
      <c r="BQ46" s="294">
        <f t="shared" si="1"/>
        <v>0</v>
      </c>
      <c r="BR46" s="294">
        <f t="shared" si="2"/>
        <v>40000</v>
      </c>
    </row>
    <row r="47" spans="1:70" s="96" customFormat="1" ht="15.95" customHeight="1">
      <c r="A47" s="468">
        <v>4</v>
      </c>
      <c r="B47" s="282"/>
      <c r="C47" s="282"/>
      <c r="D47" s="283"/>
      <c r="E47" s="284"/>
      <c r="F47" s="285" t="s">
        <v>203</v>
      </c>
      <c r="G47" s="282" t="e">
        <v>#N/A</v>
      </c>
      <c r="H47" s="282" t="s">
        <v>204</v>
      </c>
      <c r="I47" s="286">
        <v>43374</v>
      </c>
      <c r="J47" s="286">
        <v>43374</v>
      </c>
      <c r="K47" s="287">
        <v>2</v>
      </c>
      <c r="L47" s="288">
        <v>5</v>
      </c>
      <c r="M47" s="289">
        <v>0</v>
      </c>
      <c r="N47" s="287">
        <v>1</v>
      </c>
      <c r="O47" s="288">
        <v>5</v>
      </c>
      <c r="P47" s="289">
        <v>1</v>
      </c>
      <c r="Q47" s="287"/>
      <c r="R47" s="288"/>
      <c r="S47" s="289"/>
      <c r="T47" s="290">
        <v>1</v>
      </c>
      <c r="U47" s="288">
        <v>5</v>
      </c>
      <c r="V47" s="289">
        <v>1</v>
      </c>
      <c r="W47" s="291"/>
      <c r="X47" s="286">
        <v>43374</v>
      </c>
      <c r="Y47" s="286" t="s">
        <v>205</v>
      </c>
      <c r="Z47" s="292"/>
      <c r="AA47" s="293">
        <v>44985</v>
      </c>
      <c r="AB47" s="293" t="s">
        <v>209</v>
      </c>
      <c r="AC47" s="293">
        <v>1823000</v>
      </c>
      <c r="AD47" s="294"/>
      <c r="AE47" s="294"/>
      <c r="AF47" s="294">
        <v>30</v>
      </c>
      <c r="AG47" s="294">
        <v>30</v>
      </c>
      <c r="AH47" s="294"/>
      <c r="AI47" s="295">
        <v>40</v>
      </c>
      <c r="AJ47" s="294">
        <v>1840000</v>
      </c>
      <c r="AK47" s="295"/>
      <c r="AL47" s="295"/>
      <c r="AM47" s="295"/>
      <c r="AN47" s="295"/>
      <c r="AO47" s="295">
        <v>700000</v>
      </c>
      <c r="AP47" s="294"/>
      <c r="AQ47" s="295"/>
      <c r="AR47" s="294"/>
      <c r="AS47" s="294"/>
      <c r="AT47" s="294"/>
      <c r="AU47" s="294">
        <v>50000</v>
      </c>
      <c r="AV47" s="294">
        <v>140000</v>
      </c>
      <c r="AW47" s="294"/>
      <c r="AX47" s="294"/>
      <c r="AY47" s="294"/>
      <c r="AZ47" s="296"/>
      <c r="BA47" s="294"/>
      <c r="BB47" s="294">
        <f t="shared" si="0"/>
        <v>2730000</v>
      </c>
      <c r="BC47" s="294"/>
      <c r="BD47" s="294"/>
      <c r="BE47" s="304"/>
      <c r="BF47" s="299"/>
      <c r="BG47" s="299">
        <v>108450</v>
      </c>
      <c r="BH47" s="299">
        <v>83840</v>
      </c>
      <c r="BI47" s="299">
        <v>9650</v>
      </c>
      <c r="BJ47" s="299"/>
      <c r="BK47" s="299">
        <v>20800</v>
      </c>
      <c r="BL47" s="300"/>
      <c r="BM47" s="293">
        <v>600000</v>
      </c>
      <c r="BN47" s="300"/>
      <c r="BO47" s="294"/>
      <c r="BP47" s="294"/>
      <c r="BQ47" s="294">
        <f t="shared" si="1"/>
        <v>822740</v>
      </c>
      <c r="BR47" s="294">
        <f t="shared" si="2"/>
        <v>1907260</v>
      </c>
    </row>
    <row r="48" spans="1:70" s="96" customFormat="1" ht="15.95" customHeight="1">
      <c r="A48" s="468">
        <v>4</v>
      </c>
      <c r="B48" s="282"/>
      <c r="C48" s="282"/>
      <c r="D48" s="283"/>
      <c r="E48" s="284"/>
      <c r="F48" s="285" t="s">
        <v>203</v>
      </c>
      <c r="G48" s="282" t="e">
        <v>#N/A</v>
      </c>
      <c r="H48" s="282" t="s">
        <v>204</v>
      </c>
      <c r="I48" s="286">
        <v>43160</v>
      </c>
      <c r="J48" s="286">
        <v>43160</v>
      </c>
      <c r="K48" s="287">
        <v>3</v>
      </c>
      <c r="L48" s="288">
        <v>0</v>
      </c>
      <c r="M48" s="289">
        <v>0</v>
      </c>
      <c r="N48" s="287">
        <v>2</v>
      </c>
      <c r="O48" s="288">
        <v>0</v>
      </c>
      <c r="P48" s="289">
        <v>1</v>
      </c>
      <c r="Q48" s="287"/>
      <c r="R48" s="288"/>
      <c r="S48" s="289"/>
      <c r="T48" s="290">
        <v>2</v>
      </c>
      <c r="U48" s="288">
        <v>0</v>
      </c>
      <c r="V48" s="289">
        <v>1</v>
      </c>
      <c r="W48" s="291"/>
      <c r="X48" s="286">
        <v>43160</v>
      </c>
      <c r="Y48" s="286" t="s">
        <v>205</v>
      </c>
      <c r="Z48" s="292"/>
      <c r="AA48" s="293">
        <v>47907</v>
      </c>
      <c r="AB48" s="293" t="s">
        <v>210</v>
      </c>
      <c r="AC48" s="293">
        <v>1823000</v>
      </c>
      <c r="AD48" s="294"/>
      <c r="AE48" s="294"/>
      <c r="AF48" s="294">
        <v>30</v>
      </c>
      <c r="AG48" s="294">
        <v>30</v>
      </c>
      <c r="AH48" s="294"/>
      <c r="AI48" s="295">
        <v>20</v>
      </c>
      <c r="AJ48" s="294">
        <v>920000</v>
      </c>
      <c r="AK48" s="295"/>
      <c r="AL48" s="295"/>
      <c r="AM48" s="295"/>
      <c r="AN48" s="295"/>
      <c r="AO48" s="295">
        <v>17500</v>
      </c>
      <c r="AP48" s="294"/>
      <c r="AQ48" s="295"/>
      <c r="AR48" s="294"/>
      <c r="AS48" s="294"/>
      <c r="AT48" s="294"/>
      <c r="AU48" s="294"/>
      <c r="AV48" s="294">
        <v>140000</v>
      </c>
      <c r="AW48" s="294"/>
      <c r="AX48" s="294"/>
      <c r="AY48" s="294"/>
      <c r="AZ48" s="296"/>
      <c r="BA48" s="294"/>
      <c r="BB48" s="294">
        <f t="shared" si="0"/>
        <v>1077500</v>
      </c>
      <c r="BC48" s="294"/>
      <c r="BD48" s="294"/>
      <c r="BE48" s="304"/>
      <c r="BF48" s="299"/>
      <c r="BG48" s="299">
        <v>43920</v>
      </c>
      <c r="BH48" s="299">
        <v>33490</v>
      </c>
      <c r="BI48" s="299">
        <v>3850</v>
      </c>
      <c r="BJ48" s="299"/>
      <c r="BK48" s="299">
        <v>6880</v>
      </c>
      <c r="BL48" s="300"/>
      <c r="BM48" s="300"/>
      <c r="BN48" s="300"/>
      <c r="BO48" s="294"/>
      <c r="BP48" s="294"/>
      <c r="BQ48" s="294">
        <f t="shared" si="1"/>
        <v>88140</v>
      </c>
      <c r="BR48" s="294">
        <f t="shared" si="2"/>
        <v>989360</v>
      </c>
    </row>
    <row r="49" spans="1:70" s="96" customFormat="1" ht="15.95" customHeight="1">
      <c r="A49" s="468">
        <v>4</v>
      </c>
      <c r="B49" s="282"/>
      <c r="C49" s="282"/>
      <c r="D49" s="283"/>
      <c r="E49" s="284"/>
      <c r="F49" s="285" t="s">
        <v>203</v>
      </c>
      <c r="G49" s="282" t="e">
        <v>#N/A</v>
      </c>
      <c r="H49" s="282" t="s">
        <v>211</v>
      </c>
      <c r="I49" s="286">
        <v>43160</v>
      </c>
      <c r="J49" s="286">
        <v>43160</v>
      </c>
      <c r="K49" s="287">
        <v>3</v>
      </c>
      <c r="L49" s="288">
        <v>0</v>
      </c>
      <c r="M49" s="289">
        <v>0</v>
      </c>
      <c r="N49" s="287">
        <v>2</v>
      </c>
      <c r="O49" s="288">
        <v>0</v>
      </c>
      <c r="P49" s="289">
        <v>1</v>
      </c>
      <c r="Q49" s="287"/>
      <c r="R49" s="288"/>
      <c r="S49" s="289"/>
      <c r="T49" s="290">
        <v>2</v>
      </c>
      <c r="U49" s="288">
        <v>0</v>
      </c>
      <c r="V49" s="289">
        <v>1</v>
      </c>
      <c r="W49" s="291"/>
      <c r="X49" s="286">
        <v>43160</v>
      </c>
      <c r="Y49" s="286" t="s">
        <v>205</v>
      </c>
      <c r="Z49" s="292"/>
      <c r="AA49" s="293">
        <v>49552</v>
      </c>
      <c r="AB49" s="293" t="s">
        <v>212</v>
      </c>
      <c r="AC49" s="293">
        <v>1823000</v>
      </c>
      <c r="AD49" s="294"/>
      <c r="AE49" s="294"/>
      <c r="AF49" s="294">
        <v>30</v>
      </c>
      <c r="AG49" s="294">
        <v>30</v>
      </c>
      <c r="AH49" s="294"/>
      <c r="AI49" s="295">
        <v>20</v>
      </c>
      <c r="AJ49" s="294">
        <v>920000</v>
      </c>
      <c r="AK49" s="295"/>
      <c r="AL49" s="295"/>
      <c r="AM49" s="295"/>
      <c r="AN49" s="295"/>
      <c r="AO49" s="295">
        <v>17500</v>
      </c>
      <c r="AP49" s="294"/>
      <c r="AQ49" s="295"/>
      <c r="AR49" s="294"/>
      <c r="AS49" s="294">
        <v>20000</v>
      </c>
      <c r="AT49" s="294"/>
      <c r="AU49" s="294"/>
      <c r="AV49" s="294">
        <v>140000</v>
      </c>
      <c r="AW49" s="294"/>
      <c r="AX49" s="294"/>
      <c r="AY49" s="294"/>
      <c r="AZ49" s="296"/>
      <c r="BA49" s="294"/>
      <c r="BB49" s="294">
        <f t="shared" si="0"/>
        <v>1097500</v>
      </c>
      <c r="BC49" s="294"/>
      <c r="BD49" s="294"/>
      <c r="BE49" s="304"/>
      <c r="BF49" s="299"/>
      <c r="BG49" s="299">
        <v>43920</v>
      </c>
      <c r="BH49" s="299">
        <v>33490</v>
      </c>
      <c r="BI49" s="299">
        <v>3850</v>
      </c>
      <c r="BJ49" s="299"/>
      <c r="BK49" s="299">
        <v>6980</v>
      </c>
      <c r="BL49" s="300"/>
      <c r="BM49" s="300"/>
      <c r="BN49" s="300"/>
      <c r="BO49" s="294"/>
      <c r="BP49" s="294"/>
      <c r="BQ49" s="294">
        <f t="shared" si="1"/>
        <v>88240</v>
      </c>
      <c r="BR49" s="294">
        <f t="shared" si="2"/>
        <v>1009260</v>
      </c>
    </row>
    <row r="50" spans="1:70" s="96" customFormat="1" ht="15.95" customHeight="1">
      <c r="A50" s="468">
        <v>4</v>
      </c>
      <c r="B50" s="282"/>
      <c r="C50" s="282"/>
      <c r="D50" s="283"/>
      <c r="E50" s="284"/>
      <c r="F50" s="285" t="s">
        <v>203</v>
      </c>
      <c r="G50" s="282" t="e">
        <v>#N/A</v>
      </c>
      <c r="H50" s="282"/>
      <c r="I50" s="286">
        <v>41122</v>
      </c>
      <c r="J50" s="286">
        <v>41122</v>
      </c>
      <c r="K50" s="287">
        <v>8</v>
      </c>
      <c r="L50" s="288">
        <v>7</v>
      </c>
      <c r="M50" s="289">
        <v>0</v>
      </c>
      <c r="N50" s="287">
        <v>7</v>
      </c>
      <c r="O50" s="288">
        <v>7</v>
      </c>
      <c r="P50" s="289">
        <v>1</v>
      </c>
      <c r="Q50" s="287"/>
      <c r="R50" s="288"/>
      <c r="S50" s="289"/>
      <c r="T50" s="290">
        <v>7</v>
      </c>
      <c r="U50" s="288">
        <v>7</v>
      </c>
      <c r="V50" s="289">
        <v>1</v>
      </c>
      <c r="W50" s="291" t="s">
        <v>213</v>
      </c>
      <c r="X50" s="286"/>
      <c r="Y50" s="286" t="s">
        <v>205</v>
      </c>
      <c r="Z50" s="292"/>
      <c r="AA50" s="293"/>
      <c r="AB50" s="293" t="s">
        <v>215</v>
      </c>
      <c r="AC50" s="293">
        <v>520000</v>
      </c>
      <c r="AD50" s="294"/>
      <c r="AE50" s="294"/>
      <c r="AF50" s="294">
        <v>30</v>
      </c>
      <c r="AG50" s="294">
        <v>30</v>
      </c>
      <c r="AH50" s="294"/>
      <c r="AI50" s="295">
        <v>20</v>
      </c>
      <c r="AJ50" s="294">
        <v>1069500</v>
      </c>
      <c r="AK50" s="295"/>
      <c r="AL50" s="295"/>
      <c r="AM50" s="295">
        <v>125000</v>
      </c>
      <c r="AN50" s="295">
        <v>35000</v>
      </c>
      <c r="AO50" s="295"/>
      <c r="AP50" s="294"/>
      <c r="AQ50" s="295"/>
      <c r="AR50" s="294"/>
      <c r="AS50" s="294">
        <v>70000</v>
      </c>
      <c r="AT50" s="294"/>
      <c r="AU50" s="294"/>
      <c r="AV50" s="294">
        <v>70000</v>
      </c>
      <c r="AW50" s="294"/>
      <c r="AX50" s="294"/>
      <c r="AY50" s="294"/>
      <c r="AZ50" s="296"/>
      <c r="BA50" s="294"/>
      <c r="BB50" s="294">
        <f t="shared" si="0"/>
        <v>1369500</v>
      </c>
      <c r="BC50" s="294"/>
      <c r="BD50" s="294"/>
      <c r="BE50" s="304"/>
      <c r="BF50" s="299"/>
      <c r="BG50" s="299">
        <v>66330</v>
      </c>
      <c r="BH50" s="299">
        <v>42060</v>
      </c>
      <c r="BI50" s="299">
        <v>4840</v>
      </c>
      <c r="BJ50" s="299"/>
      <c r="BK50" s="299">
        <v>11610</v>
      </c>
      <c r="BL50" s="300"/>
      <c r="BM50" s="300"/>
      <c r="BN50" s="300"/>
      <c r="BO50" s="294"/>
      <c r="BP50" s="294"/>
      <c r="BQ50" s="294">
        <f t="shared" si="1"/>
        <v>124840</v>
      </c>
      <c r="BR50" s="294">
        <f t="shared" si="2"/>
        <v>1244660</v>
      </c>
    </row>
    <row r="51" spans="1:70" s="96" customFormat="1" ht="15.95" customHeight="1">
      <c r="A51" s="468">
        <v>4</v>
      </c>
      <c r="B51" s="282"/>
      <c r="C51" s="282"/>
      <c r="D51" s="283"/>
      <c r="E51" s="284"/>
      <c r="F51" s="285" t="s">
        <v>203</v>
      </c>
      <c r="G51" s="282" t="e">
        <v>#N/A</v>
      </c>
      <c r="H51" s="282"/>
      <c r="I51" s="286">
        <v>41699</v>
      </c>
      <c r="J51" s="286">
        <v>41699</v>
      </c>
      <c r="K51" s="287">
        <v>7</v>
      </c>
      <c r="L51" s="288">
        <v>0</v>
      </c>
      <c r="M51" s="289">
        <v>0</v>
      </c>
      <c r="N51" s="287">
        <v>6</v>
      </c>
      <c r="O51" s="288">
        <v>0</v>
      </c>
      <c r="P51" s="289">
        <v>1</v>
      </c>
      <c r="Q51" s="287"/>
      <c r="R51" s="288"/>
      <c r="S51" s="289"/>
      <c r="T51" s="290">
        <v>6</v>
      </c>
      <c r="U51" s="288">
        <v>0</v>
      </c>
      <c r="V51" s="289">
        <v>1</v>
      </c>
      <c r="W51" s="291" t="s">
        <v>213</v>
      </c>
      <c r="X51" s="286"/>
      <c r="Y51" s="286" t="s">
        <v>205</v>
      </c>
      <c r="Z51" s="292"/>
      <c r="AA51" s="293"/>
      <c r="AB51" s="293" t="s">
        <v>217</v>
      </c>
      <c r="AC51" s="293">
        <v>2117500</v>
      </c>
      <c r="AD51" s="294"/>
      <c r="AE51" s="294"/>
      <c r="AF51" s="294">
        <v>30</v>
      </c>
      <c r="AG51" s="294">
        <v>30</v>
      </c>
      <c r="AH51" s="294"/>
      <c r="AI51" s="295">
        <v>40</v>
      </c>
      <c r="AJ51" s="294">
        <v>2200000</v>
      </c>
      <c r="AK51" s="295">
        <v>100000</v>
      </c>
      <c r="AL51" s="295"/>
      <c r="AM51" s="295"/>
      <c r="AN51" s="295"/>
      <c r="AO51" s="295"/>
      <c r="AP51" s="294"/>
      <c r="AQ51" s="295"/>
      <c r="AR51" s="294"/>
      <c r="AS51" s="294"/>
      <c r="AT51" s="294"/>
      <c r="AU51" s="294"/>
      <c r="AV51" s="294">
        <v>0</v>
      </c>
      <c r="AW51" s="294"/>
      <c r="AX51" s="294"/>
      <c r="AY51" s="294"/>
      <c r="AZ51" s="296"/>
      <c r="BA51" s="294"/>
      <c r="BB51" s="294">
        <f t="shared" si="0"/>
        <v>2300000</v>
      </c>
      <c r="BC51" s="294"/>
      <c r="BD51" s="294"/>
      <c r="BE51" s="304"/>
      <c r="BF51" s="299"/>
      <c r="BG51" s="299">
        <v>125180</v>
      </c>
      <c r="BH51" s="299">
        <v>95450</v>
      </c>
      <c r="BI51" s="299">
        <v>9090</v>
      </c>
      <c r="BJ51" s="299"/>
      <c r="BK51" s="299"/>
      <c r="BL51" s="300"/>
      <c r="BM51" s="300"/>
      <c r="BN51" s="300"/>
      <c r="BO51" s="294"/>
      <c r="BP51" s="294"/>
      <c r="BQ51" s="294">
        <f t="shared" si="1"/>
        <v>229720</v>
      </c>
      <c r="BR51" s="294">
        <f t="shared" si="2"/>
        <v>2070280</v>
      </c>
    </row>
    <row r="52" spans="1:70" s="96" customFormat="1" ht="15.95" customHeight="1">
      <c r="A52" s="468">
        <v>4</v>
      </c>
      <c r="B52" s="282"/>
      <c r="C52" s="282"/>
      <c r="D52" s="283"/>
      <c r="E52" s="284"/>
      <c r="F52" s="285" t="s">
        <v>203</v>
      </c>
      <c r="G52" s="282">
        <v>365</v>
      </c>
      <c r="H52" s="282" t="s">
        <v>218</v>
      </c>
      <c r="I52" s="286">
        <v>43703</v>
      </c>
      <c r="J52" s="286">
        <v>43703</v>
      </c>
      <c r="K52" s="287">
        <v>0</v>
      </c>
      <c r="L52" s="288">
        <v>6</v>
      </c>
      <c r="M52" s="289">
        <v>7</v>
      </c>
      <c r="N52" s="287"/>
      <c r="O52" s="288"/>
      <c r="P52" s="289"/>
      <c r="Q52" s="287"/>
      <c r="R52" s="288"/>
      <c r="S52" s="289"/>
      <c r="T52" s="290">
        <v>0</v>
      </c>
      <c r="U52" s="288">
        <v>6</v>
      </c>
      <c r="V52" s="289">
        <v>7</v>
      </c>
      <c r="W52" s="291" t="s">
        <v>213</v>
      </c>
      <c r="X52" s="286"/>
      <c r="Y52" s="286" t="s">
        <v>205</v>
      </c>
      <c r="Z52" s="292"/>
      <c r="AA52" s="293" t="s">
        <v>220</v>
      </c>
      <c r="AB52" s="293" t="s">
        <v>219</v>
      </c>
      <c r="AC52" s="293">
        <v>2300000</v>
      </c>
      <c r="AD52" s="294"/>
      <c r="AE52" s="294"/>
      <c r="AF52" s="294">
        <v>30</v>
      </c>
      <c r="AG52" s="294">
        <v>30</v>
      </c>
      <c r="AH52" s="294"/>
      <c r="AI52" s="295">
        <v>14</v>
      </c>
      <c r="AJ52" s="294">
        <v>600000</v>
      </c>
      <c r="AK52" s="295"/>
      <c r="AL52" s="295"/>
      <c r="AM52" s="295"/>
      <c r="AN52" s="295"/>
      <c r="AO52" s="295"/>
      <c r="AP52" s="294"/>
      <c r="AQ52" s="295"/>
      <c r="AR52" s="294"/>
      <c r="AS52" s="294"/>
      <c r="AT52" s="294"/>
      <c r="AU52" s="294"/>
      <c r="AV52" s="294">
        <v>0</v>
      </c>
      <c r="AW52" s="294"/>
      <c r="AX52" s="294"/>
      <c r="AY52" s="294"/>
      <c r="AZ52" s="296"/>
      <c r="BA52" s="294"/>
      <c r="BB52" s="294">
        <f t="shared" si="0"/>
        <v>600000</v>
      </c>
      <c r="BC52" s="294"/>
      <c r="BD52" s="294"/>
      <c r="BE52" s="304"/>
      <c r="BF52" s="299"/>
      <c r="BG52" s="299"/>
      <c r="BH52" s="299"/>
      <c r="BI52" s="299"/>
      <c r="BJ52" s="299"/>
      <c r="BK52" s="299"/>
      <c r="BL52" s="300"/>
      <c r="BM52" s="300"/>
      <c r="BN52" s="300"/>
      <c r="BO52" s="294"/>
      <c r="BP52" s="294"/>
      <c r="BQ52" s="294">
        <f t="shared" si="1"/>
        <v>0</v>
      </c>
      <c r="BR52" s="294">
        <f t="shared" si="2"/>
        <v>600000</v>
      </c>
    </row>
    <row r="53" spans="1:70" s="96" customFormat="1" ht="15.95" customHeight="1">
      <c r="A53" s="468">
        <v>4</v>
      </c>
      <c r="B53" s="282"/>
      <c r="C53" s="282"/>
      <c r="D53" s="283"/>
      <c r="E53" s="284"/>
      <c r="F53" s="285"/>
      <c r="G53" s="282"/>
      <c r="H53" s="282"/>
      <c r="I53" s="286"/>
      <c r="J53" s="286"/>
      <c r="K53" s="287"/>
      <c r="L53" s="288"/>
      <c r="M53" s="289"/>
      <c r="N53" s="287"/>
      <c r="O53" s="288"/>
      <c r="P53" s="289"/>
      <c r="Q53" s="287"/>
      <c r="R53" s="288"/>
      <c r="S53" s="289"/>
      <c r="T53" s="290"/>
      <c r="U53" s="288"/>
      <c r="V53" s="289"/>
      <c r="W53" s="291"/>
      <c r="X53" s="286"/>
      <c r="Y53" s="286"/>
      <c r="Z53" s="292"/>
      <c r="AA53" s="293"/>
      <c r="AB53" s="293"/>
      <c r="AC53" s="293"/>
      <c r="AD53" s="294"/>
      <c r="AE53" s="294"/>
      <c r="AF53" s="294">
        <v>30</v>
      </c>
      <c r="AG53" s="294">
        <v>30</v>
      </c>
      <c r="AH53" s="294"/>
      <c r="AI53" s="295">
        <v>40</v>
      </c>
      <c r="AJ53" s="294">
        <v>1840000</v>
      </c>
      <c r="AK53" s="295"/>
      <c r="AL53" s="295"/>
      <c r="AM53" s="295"/>
      <c r="AN53" s="295"/>
      <c r="AO53" s="295"/>
      <c r="AP53" s="294"/>
      <c r="AQ53" s="295"/>
      <c r="AR53" s="294"/>
      <c r="AS53" s="294"/>
      <c r="AT53" s="294"/>
      <c r="AU53" s="294">
        <v>50000</v>
      </c>
      <c r="AV53" s="294">
        <v>140000</v>
      </c>
      <c r="AW53" s="294"/>
      <c r="AX53" s="294"/>
      <c r="AY53" s="294"/>
      <c r="AZ53" s="296"/>
      <c r="BA53" s="296"/>
      <c r="BB53" s="294">
        <f>SUM(AJ53:AZ53)+91350</f>
        <v>2121350</v>
      </c>
      <c r="BC53" s="294"/>
      <c r="BD53" s="294"/>
      <c r="BE53" s="304"/>
      <c r="BF53" s="299"/>
      <c r="BG53" s="299"/>
      <c r="BH53" s="299">
        <v>69620</v>
      </c>
      <c r="BI53" s="299">
        <v>8020</v>
      </c>
      <c r="BJ53" s="299"/>
      <c r="BK53" s="299">
        <v>16240</v>
      </c>
      <c r="BL53" s="300"/>
      <c r="BM53" s="300"/>
      <c r="BN53" s="300"/>
      <c r="BO53" s="294"/>
      <c r="BP53" s="294"/>
      <c r="BQ53" s="294">
        <f t="shared" si="1"/>
        <v>93880</v>
      </c>
      <c r="BR53" s="294">
        <f t="shared" si="2"/>
        <v>2027470</v>
      </c>
    </row>
    <row r="54" spans="1:70" s="96" customFormat="1" ht="15.95" customHeight="1">
      <c r="A54" s="468">
        <v>4</v>
      </c>
      <c r="B54" s="282"/>
      <c r="C54" s="282"/>
      <c r="D54" s="283"/>
      <c r="E54" s="284"/>
      <c r="F54" s="285"/>
      <c r="G54" s="282"/>
      <c r="H54" s="282"/>
      <c r="I54" s="286"/>
      <c r="J54" s="286"/>
      <c r="K54" s="287"/>
      <c r="L54" s="288"/>
      <c r="M54" s="289"/>
      <c r="N54" s="287"/>
      <c r="O54" s="288"/>
      <c r="P54" s="289"/>
      <c r="Q54" s="287"/>
      <c r="R54" s="288"/>
      <c r="S54" s="289"/>
      <c r="T54" s="290"/>
      <c r="U54" s="288"/>
      <c r="V54" s="289"/>
      <c r="W54" s="291"/>
      <c r="X54" s="286"/>
      <c r="Y54" s="286"/>
      <c r="Z54" s="292"/>
      <c r="AA54" s="293"/>
      <c r="AB54" s="293"/>
      <c r="AC54" s="293"/>
      <c r="AD54" s="294"/>
      <c r="AE54" s="294"/>
      <c r="AF54" s="294"/>
      <c r="AG54" s="294"/>
      <c r="AH54" s="294"/>
      <c r="AI54" s="295">
        <v>13.5</v>
      </c>
      <c r="AJ54" s="294">
        <v>525000</v>
      </c>
      <c r="AK54" s="295"/>
      <c r="AL54" s="295"/>
      <c r="AM54" s="295"/>
      <c r="AN54" s="295"/>
      <c r="AO54" s="295"/>
      <c r="AP54" s="294"/>
      <c r="AQ54" s="295"/>
      <c r="AR54" s="294"/>
      <c r="AS54" s="294"/>
      <c r="AT54" s="294"/>
      <c r="AU54" s="294"/>
      <c r="AV54" s="294"/>
      <c r="AW54" s="294"/>
      <c r="AX54" s="294"/>
      <c r="AY54" s="294"/>
      <c r="AZ54" s="296"/>
      <c r="BA54" s="296"/>
      <c r="BB54" s="294">
        <f>SUM(AJ54:AZ54)</f>
        <v>525000</v>
      </c>
      <c r="BC54" s="294"/>
      <c r="BD54" s="294"/>
      <c r="BE54" s="304"/>
      <c r="BF54" s="299"/>
      <c r="BG54" s="299"/>
      <c r="BH54" s="299"/>
      <c r="BI54" s="299"/>
      <c r="BJ54" s="299"/>
      <c r="BK54" s="299"/>
      <c r="BL54" s="300"/>
      <c r="BM54" s="300"/>
      <c r="BN54" s="300"/>
      <c r="BO54" s="294"/>
      <c r="BP54" s="294"/>
      <c r="BQ54" s="294">
        <f t="shared" si="1"/>
        <v>0</v>
      </c>
      <c r="BR54" s="294">
        <f t="shared" si="2"/>
        <v>525000</v>
      </c>
    </row>
    <row r="55" spans="1:70" s="96" customFormat="1" ht="15.95" customHeight="1">
      <c r="A55" s="266">
        <v>5</v>
      </c>
      <c r="B55" s="69"/>
      <c r="C55" s="69"/>
      <c r="D55" s="274"/>
      <c r="E55" s="275"/>
      <c r="F55" s="72" t="s">
        <v>203</v>
      </c>
      <c r="G55" s="69">
        <v>365</v>
      </c>
      <c r="H55" s="69" t="s">
        <v>204</v>
      </c>
      <c r="I55" s="74">
        <v>37681</v>
      </c>
      <c r="J55" s="74">
        <v>38047</v>
      </c>
      <c r="K55" s="81">
        <v>17</v>
      </c>
      <c r="L55" s="82">
        <v>0</v>
      </c>
      <c r="M55" s="83">
        <v>0</v>
      </c>
      <c r="N55" s="81">
        <v>17</v>
      </c>
      <c r="O55" s="82">
        <v>0</v>
      </c>
      <c r="P55" s="83">
        <v>1</v>
      </c>
      <c r="Q55" s="81"/>
      <c r="R55" s="82"/>
      <c r="S55" s="83"/>
      <c r="T55" s="84">
        <v>17</v>
      </c>
      <c r="U55" s="82">
        <v>0</v>
      </c>
      <c r="V55" s="83">
        <v>1</v>
      </c>
      <c r="W55" s="106"/>
      <c r="X55" s="74">
        <v>38412</v>
      </c>
      <c r="Y55" s="74" t="s">
        <v>205</v>
      </c>
      <c r="Z55" s="87"/>
      <c r="AA55" s="73">
        <v>52109</v>
      </c>
      <c r="AB55" s="73" t="s">
        <v>206</v>
      </c>
      <c r="AC55" s="73">
        <v>1823000</v>
      </c>
      <c r="AD55" s="91"/>
      <c r="AE55" s="91"/>
      <c r="AF55" s="91">
        <v>31</v>
      </c>
      <c r="AG55" s="91">
        <v>31</v>
      </c>
      <c r="AH55" s="91"/>
      <c r="AI55" s="276">
        <v>27.5</v>
      </c>
      <c r="AJ55" s="91">
        <v>1265000</v>
      </c>
      <c r="AK55" s="276"/>
      <c r="AL55" s="276"/>
      <c r="AM55" s="276"/>
      <c r="AN55" s="276"/>
      <c r="AO55" s="91"/>
      <c r="AP55" s="91"/>
      <c r="AQ55" s="276"/>
      <c r="AR55" s="91"/>
      <c r="AS55" s="91"/>
      <c r="AT55" s="91"/>
      <c r="AU55" s="91"/>
      <c r="AV55" s="91">
        <v>140000</v>
      </c>
      <c r="AW55" s="91"/>
      <c r="AX55" s="91"/>
      <c r="AY55" s="91"/>
      <c r="AZ55" s="277"/>
      <c r="BA55" s="277"/>
      <c r="BB55" s="91">
        <f t="shared" si="0"/>
        <v>1405000</v>
      </c>
      <c r="BC55" s="91"/>
      <c r="BD55" s="91"/>
      <c r="BE55" s="301"/>
      <c r="BF55" s="278"/>
      <c r="BG55" s="278"/>
      <c r="BH55" s="278">
        <v>51860</v>
      </c>
      <c r="BI55" s="278">
        <v>5960</v>
      </c>
      <c r="BJ55" s="278">
        <v>5040</v>
      </c>
      <c r="BK55" s="278">
        <v>12090</v>
      </c>
      <c r="BL55" s="302">
        <v>550</v>
      </c>
      <c r="BM55" s="73"/>
      <c r="BN55" s="302">
        <v>13680</v>
      </c>
      <c r="BO55" s="91"/>
      <c r="BP55" s="388">
        <v>43550</v>
      </c>
      <c r="BQ55" s="91">
        <f t="shared" si="1"/>
        <v>132730</v>
      </c>
      <c r="BR55" s="91">
        <f t="shared" si="2"/>
        <v>1272270</v>
      </c>
    </row>
    <row r="56" spans="1:70" s="96" customFormat="1" ht="15.95" customHeight="1">
      <c r="A56" s="266">
        <v>5</v>
      </c>
      <c r="B56" s="69"/>
      <c r="C56" s="69"/>
      <c r="D56" s="274"/>
      <c r="E56" s="275"/>
      <c r="F56" s="72" t="s">
        <v>207</v>
      </c>
      <c r="G56" s="69" t="e">
        <v>#REF!</v>
      </c>
      <c r="H56" s="69" t="s">
        <v>204</v>
      </c>
      <c r="I56" s="74">
        <v>40603</v>
      </c>
      <c r="J56" s="74">
        <v>40603</v>
      </c>
      <c r="K56" s="81">
        <v>10</v>
      </c>
      <c r="L56" s="82">
        <v>0</v>
      </c>
      <c r="M56" s="83">
        <v>0</v>
      </c>
      <c r="N56" s="81">
        <v>9</v>
      </c>
      <c r="O56" s="82">
        <v>0</v>
      </c>
      <c r="P56" s="83">
        <v>1</v>
      </c>
      <c r="Q56" s="81">
        <v>7</v>
      </c>
      <c r="R56" s="82"/>
      <c r="S56" s="83"/>
      <c r="T56" s="84">
        <v>16</v>
      </c>
      <c r="U56" s="82">
        <v>0</v>
      </c>
      <c r="V56" s="83">
        <v>1</v>
      </c>
      <c r="W56" s="106"/>
      <c r="X56" s="74">
        <v>41334</v>
      </c>
      <c r="Y56" s="74" t="s">
        <v>205</v>
      </c>
      <c r="Z56" s="87"/>
      <c r="AA56" s="73">
        <v>45716</v>
      </c>
      <c r="AB56" s="73" t="s">
        <v>206</v>
      </c>
      <c r="AC56" s="73">
        <v>1823000</v>
      </c>
      <c r="AD56" s="91"/>
      <c r="AE56" s="91"/>
      <c r="AF56" s="91">
        <v>31</v>
      </c>
      <c r="AG56" s="91">
        <v>31</v>
      </c>
      <c r="AH56" s="91"/>
      <c r="AI56" s="276">
        <v>20</v>
      </c>
      <c r="AJ56" s="91">
        <v>920000</v>
      </c>
      <c r="AK56" s="276"/>
      <c r="AL56" s="276"/>
      <c r="AM56" s="276"/>
      <c r="AN56" s="276"/>
      <c r="AO56" s="91">
        <v>52500</v>
      </c>
      <c r="AP56" s="91">
        <v>64180</v>
      </c>
      <c r="AQ56" s="276"/>
      <c r="AR56" s="91"/>
      <c r="AS56" s="91">
        <v>30000</v>
      </c>
      <c r="AT56" s="91"/>
      <c r="AU56" s="91"/>
      <c r="AV56" s="91">
        <v>140000</v>
      </c>
      <c r="AW56" s="91"/>
      <c r="AX56" s="91"/>
      <c r="AY56" s="91"/>
      <c r="AZ56" s="277"/>
      <c r="BA56" s="277"/>
      <c r="BB56" s="91">
        <f t="shared" si="0"/>
        <v>1206680</v>
      </c>
      <c r="BC56" s="91"/>
      <c r="BD56" s="91"/>
      <c r="BE56" s="301"/>
      <c r="BF56" s="278"/>
      <c r="BG56" s="278">
        <v>44910</v>
      </c>
      <c r="BH56" s="278">
        <v>42110</v>
      </c>
      <c r="BI56" s="278">
        <v>4850</v>
      </c>
      <c r="BJ56" s="278">
        <v>4630</v>
      </c>
      <c r="BK56" s="278">
        <v>9810</v>
      </c>
      <c r="BL56" s="302">
        <v>490</v>
      </c>
      <c r="BM56" s="73"/>
      <c r="BN56" s="302">
        <v>12730</v>
      </c>
      <c r="BO56" s="91"/>
      <c r="BP56" s="388">
        <v>40240</v>
      </c>
      <c r="BQ56" s="91">
        <f t="shared" si="1"/>
        <v>159770</v>
      </c>
      <c r="BR56" s="91">
        <f t="shared" si="2"/>
        <v>1046910</v>
      </c>
    </row>
    <row r="57" spans="1:70" s="96" customFormat="1" ht="15.95" customHeight="1">
      <c r="A57" s="266">
        <v>5</v>
      </c>
      <c r="B57" s="69"/>
      <c r="C57" s="69"/>
      <c r="D57" s="274"/>
      <c r="E57" s="275"/>
      <c r="F57" s="72" t="s">
        <v>207</v>
      </c>
      <c r="G57" s="69">
        <v>300</v>
      </c>
      <c r="H57" s="69" t="s">
        <v>204</v>
      </c>
      <c r="I57" s="74">
        <v>34029</v>
      </c>
      <c r="J57" s="74">
        <v>38047</v>
      </c>
      <c r="K57" s="81">
        <v>17</v>
      </c>
      <c r="L57" s="82">
        <v>0</v>
      </c>
      <c r="M57" s="83">
        <v>0</v>
      </c>
      <c r="N57" s="81">
        <v>27</v>
      </c>
      <c r="O57" s="82">
        <v>0</v>
      </c>
      <c r="P57" s="83">
        <v>1</v>
      </c>
      <c r="Q57" s="81"/>
      <c r="R57" s="82"/>
      <c r="S57" s="83"/>
      <c r="T57" s="84">
        <v>27</v>
      </c>
      <c r="U57" s="82">
        <v>0</v>
      </c>
      <c r="V57" s="83">
        <v>1</v>
      </c>
      <c r="W57" s="106"/>
      <c r="X57" s="74">
        <v>39356</v>
      </c>
      <c r="Y57" s="74" t="s">
        <v>205</v>
      </c>
      <c r="Z57" s="87"/>
      <c r="AA57" s="73">
        <v>45535</v>
      </c>
      <c r="AB57" s="73" t="s">
        <v>206</v>
      </c>
      <c r="AC57" s="73">
        <v>1823000</v>
      </c>
      <c r="AD57" s="91"/>
      <c r="AE57" s="91"/>
      <c r="AF57" s="91">
        <v>31</v>
      </c>
      <c r="AG57" s="91">
        <v>31</v>
      </c>
      <c r="AH57" s="91"/>
      <c r="AI57" s="276">
        <v>25</v>
      </c>
      <c r="AJ57" s="91">
        <v>1150000</v>
      </c>
      <c r="AK57" s="276"/>
      <c r="AL57" s="276"/>
      <c r="AM57" s="276"/>
      <c r="AN57" s="276"/>
      <c r="AO57" s="91">
        <v>262500</v>
      </c>
      <c r="AP57" s="91"/>
      <c r="AQ57" s="276"/>
      <c r="AR57" s="91"/>
      <c r="AS57" s="91">
        <v>37500</v>
      </c>
      <c r="AT57" s="91"/>
      <c r="AU57" s="91"/>
      <c r="AV57" s="91">
        <v>140000</v>
      </c>
      <c r="AW57" s="91"/>
      <c r="AX57" s="91"/>
      <c r="AY57" s="91"/>
      <c r="AZ57" s="277"/>
      <c r="BA57" s="277"/>
      <c r="BB57" s="91">
        <f t="shared" si="0"/>
        <v>1590000</v>
      </c>
      <c r="BC57" s="91"/>
      <c r="BD57" s="91"/>
      <c r="BE57" s="301"/>
      <c r="BF57" s="278"/>
      <c r="BG57" s="278">
        <v>67140</v>
      </c>
      <c r="BH57" s="278">
        <v>56320</v>
      </c>
      <c r="BI57" s="278">
        <v>6490</v>
      </c>
      <c r="BJ57" s="278">
        <v>4090</v>
      </c>
      <c r="BK57" s="278">
        <v>13120</v>
      </c>
      <c r="BL57" s="302">
        <v>420</v>
      </c>
      <c r="BM57" s="73"/>
      <c r="BN57" s="302">
        <v>11270</v>
      </c>
      <c r="BO57" s="91"/>
      <c r="BP57" s="388">
        <v>35180</v>
      </c>
      <c r="BQ57" s="91">
        <f t="shared" si="1"/>
        <v>194030</v>
      </c>
      <c r="BR57" s="91">
        <f t="shared" si="2"/>
        <v>1395970</v>
      </c>
    </row>
    <row r="58" spans="1:70" s="96" customFormat="1" ht="15.95" customHeight="1">
      <c r="A58" s="266">
        <v>5</v>
      </c>
      <c r="B58" s="69"/>
      <c r="C58" s="69"/>
      <c r="D58" s="274"/>
      <c r="E58" s="275"/>
      <c r="F58" s="72" t="s">
        <v>207</v>
      </c>
      <c r="G58" s="69">
        <v>300</v>
      </c>
      <c r="H58" s="69" t="s">
        <v>204</v>
      </c>
      <c r="I58" s="74">
        <v>37316</v>
      </c>
      <c r="J58" s="74">
        <v>38047</v>
      </c>
      <c r="K58" s="81">
        <v>17</v>
      </c>
      <c r="L58" s="82">
        <v>0</v>
      </c>
      <c r="M58" s="83">
        <v>0</v>
      </c>
      <c r="N58" s="81">
        <v>18</v>
      </c>
      <c r="O58" s="82">
        <v>0</v>
      </c>
      <c r="P58" s="83">
        <v>1</v>
      </c>
      <c r="Q58" s="81"/>
      <c r="R58" s="82"/>
      <c r="S58" s="83"/>
      <c r="T58" s="84">
        <v>18</v>
      </c>
      <c r="U58" s="82">
        <v>0</v>
      </c>
      <c r="V58" s="83">
        <v>1</v>
      </c>
      <c r="W58" s="106"/>
      <c r="X58" s="74">
        <v>39356</v>
      </c>
      <c r="Y58" s="74" t="s">
        <v>205</v>
      </c>
      <c r="Z58" s="87"/>
      <c r="AA58" s="73">
        <v>45169</v>
      </c>
      <c r="AB58" s="73" t="s">
        <v>206</v>
      </c>
      <c r="AC58" s="73">
        <v>1823000</v>
      </c>
      <c r="AD58" s="91"/>
      <c r="AE58" s="91"/>
      <c r="AF58" s="91">
        <v>31</v>
      </c>
      <c r="AG58" s="91">
        <v>31</v>
      </c>
      <c r="AH58" s="91"/>
      <c r="AI58" s="276">
        <v>40</v>
      </c>
      <c r="AJ58" s="91">
        <v>1840000</v>
      </c>
      <c r="AK58" s="276"/>
      <c r="AL58" s="276"/>
      <c r="AM58" s="276"/>
      <c r="AN58" s="276"/>
      <c r="AO58" s="91">
        <v>700000</v>
      </c>
      <c r="AP58" s="91"/>
      <c r="AQ58" s="276"/>
      <c r="AR58" s="91"/>
      <c r="AS58" s="91">
        <v>40000</v>
      </c>
      <c r="AT58" s="91"/>
      <c r="AU58" s="91">
        <v>50000</v>
      </c>
      <c r="AV58" s="91">
        <v>140000</v>
      </c>
      <c r="AW58" s="91"/>
      <c r="AX58" s="91"/>
      <c r="AY58" s="91"/>
      <c r="AZ58" s="277"/>
      <c r="BA58" s="277"/>
      <c r="BB58" s="91">
        <f t="shared" si="0"/>
        <v>2770000</v>
      </c>
      <c r="BC58" s="91"/>
      <c r="BD58" s="91"/>
      <c r="BE58" s="301"/>
      <c r="BF58" s="278"/>
      <c r="BG58" s="278">
        <v>105660</v>
      </c>
      <c r="BH58" s="278">
        <v>80900</v>
      </c>
      <c r="BI58" s="278">
        <v>8320</v>
      </c>
      <c r="BJ58" s="278">
        <v>-51780</v>
      </c>
      <c r="BK58" s="278">
        <v>19050</v>
      </c>
      <c r="BL58" s="302">
        <v>-5340</v>
      </c>
      <c r="BM58" s="73">
        <v>900000</v>
      </c>
      <c r="BN58" s="302"/>
      <c r="BO58" s="91"/>
      <c r="BP58" s="91"/>
      <c r="BQ58" s="91">
        <f t="shared" si="1"/>
        <v>1056810</v>
      </c>
      <c r="BR58" s="91">
        <f t="shared" si="2"/>
        <v>1713190</v>
      </c>
    </row>
    <row r="59" spans="1:70" s="96" customFormat="1" ht="15.95" customHeight="1">
      <c r="A59" s="266">
        <v>5</v>
      </c>
      <c r="B59" s="69"/>
      <c r="C59" s="69"/>
      <c r="D59" s="274"/>
      <c r="E59" s="275"/>
      <c r="F59" s="72" t="s">
        <v>207</v>
      </c>
      <c r="G59" s="69">
        <v>300</v>
      </c>
      <c r="H59" s="69" t="s">
        <v>204</v>
      </c>
      <c r="I59" s="74">
        <v>38412</v>
      </c>
      <c r="J59" s="74">
        <v>38412</v>
      </c>
      <c r="K59" s="81">
        <v>16</v>
      </c>
      <c r="L59" s="82">
        <v>0</v>
      </c>
      <c r="M59" s="83">
        <v>0</v>
      </c>
      <c r="N59" s="81">
        <v>15</v>
      </c>
      <c r="O59" s="82">
        <v>0</v>
      </c>
      <c r="P59" s="83">
        <v>1</v>
      </c>
      <c r="Q59" s="81">
        <v>3</v>
      </c>
      <c r="R59" s="82"/>
      <c r="S59" s="83"/>
      <c r="T59" s="84">
        <v>18</v>
      </c>
      <c r="U59" s="82">
        <v>0</v>
      </c>
      <c r="V59" s="83">
        <v>1</v>
      </c>
      <c r="W59" s="106"/>
      <c r="X59" s="74">
        <v>39356</v>
      </c>
      <c r="Y59" s="74" t="s">
        <v>205</v>
      </c>
      <c r="Z59" s="87"/>
      <c r="AA59" s="73">
        <v>47726</v>
      </c>
      <c r="AB59" s="73" t="s">
        <v>206</v>
      </c>
      <c r="AC59" s="73">
        <v>1823000</v>
      </c>
      <c r="AD59" s="91"/>
      <c r="AE59" s="91"/>
      <c r="AF59" s="91">
        <v>31</v>
      </c>
      <c r="AG59" s="91">
        <v>31</v>
      </c>
      <c r="AH59" s="91"/>
      <c r="AI59" s="276">
        <v>40</v>
      </c>
      <c r="AJ59" s="91">
        <v>1840000</v>
      </c>
      <c r="AK59" s="276"/>
      <c r="AL59" s="276"/>
      <c r="AM59" s="276"/>
      <c r="AN59" s="276"/>
      <c r="AO59" s="91">
        <v>700000</v>
      </c>
      <c r="AP59" s="91"/>
      <c r="AQ59" s="276"/>
      <c r="AR59" s="91"/>
      <c r="AS59" s="91">
        <v>40000</v>
      </c>
      <c r="AT59" s="91"/>
      <c r="AU59" s="91">
        <v>50000</v>
      </c>
      <c r="AV59" s="91">
        <v>140000</v>
      </c>
      <c r="AW59" s="91"/>
      <c r="AX59" s="91"/>
      <c r="AY59" s="91"/>
      <c r="AZ59" s="277"/>
      <c r="BA59" s="277"/>
      <c r="BB59" s="91">
        <f t="shared" si="0"/>
        <v>2770000</v>
      </c>
      <c r="BC59" s="91"/>
      <c r="BD59" s="91"/>
      <c r="BE59" s="301"/>
      <c r="BF59" s="278"/>
      <c r="BG59" s="278">
        <v>109570</v>
      </c>
      <c r="BH59" s="278">
        <v>87850</v>
      </c>
      <c r="BI59" s="278">
        <v>7080</v>
      </c>
      <c r="BJ59" s="278">
        <v>4320</v>
      </c>
      <c r="BK59" s="278">
        <v>20490</v>
      </c>
      <c r="BL59" s="302">
        <v>360</v>
      </c>
      <c r="BM59" s="73">
        <v>420000</v>
      </c>
      <c r="BN59" s="302">
        <v>10230</v>
      </c>
      <c r="BO59" s="91"/>
      <c r="BP59" s="388">
        <v>36180</v>
      </c>
      <c r="BQ59" s="91">
        <f t="shared" si="1"/>
        <v>696080</v>
      </c>
      <c r="BR59" s="91">
        <f t="shared" si="2"/>
        <v>2073920</v>
      </c>
    </row>
    <row r="60" spans="1:70" s="96" customFormat="1" ht="15.95" customHeight="1">
      <c r="A60" s="266">
        <v>5</v>
      </c>
      <c r="B60" s="69"/>
      <c r="C60" s="69"/>
      <c r="D60" s="274"/>
      <c r="E60" s="275"/>
      <c r="F60" s="72" t="s">
        <v>207</v>
      </c>
      <c r="G60" s="69">
        <v>300</v>
      </c>
      <c r="H60" s="69" t="s">
        <v>204</v>
      </c>
      <c r="I60" s="74">
        <v>39321</v>
      </c>
      <c r="J60" s="74">
        <v>39321</v>
      </c>
      <c r="K60" s="81">
        <v>13</v>
      </c>
      <c r="L60" s="82">
        <v>6</v>
      </c>
      <c r="M60" s="83">
        <v>2</v>
      </c>
      <c r="N60" s="81">
        <v>12</v>
      </c>
      <c r="O60" s="82">
        <v>6</v>
      </c>
      <c r="P60" s="83">
        <v>6</v>
      </c>
      <c r="Q60" s="81"/>
      <c r="R60" s="82"/>
      <c r="S60" s="83"/>
      <c r="T60" s="84">
        <v>12</v>
      </c>
      <c r="U60" s="82">
        <v>6</v>
      </c>
      <c r="V60" s="83">
        <v>6</v>
      </c>
      <c r="W60" s="106"/>
      <c r="X60" s="74">
        <v>40725</v>
      </c>
      <c r="Y60" s="74" t="s">
        <v>205</v>
      </c>
      <c r="Z60" s="87"/>
      <c r="AA60" s="73">
        <v>49003</v>
      </c>
      <c r="AB60" s="73" t="s">
        <v>206</v>
      </c>
      <c r="AC60" s="73">
        <v>1823000</v>
      </c>
      <c r="AD60" s="91"/>
      <c r="AE60" s="91"/>
      <c r="AF60" s="91">
        <v>15</v>
      </c>
      <c r="AG60" s="91">
        <v>31</v>
      </c>
      <c r="AH60" s="91"/>
      <c r="AI60" s="276">
        <v>40</v>
      </c>
      <c r="AJ60" s="91">
        <v>890320</v>
      </c>
      <c r="AK60" s="276"/>
      <c r="AL60" s="276"/>
      <c r="AM60" s="276"/>
      <c r="AN60" s="276"/>
      <c r="AO60" s="276">
        <v>700000</v>
      </c>
      <c r="AP60" s="91"/>
      <c r="AQ60" s="276"/>
      <c r="AR60" s="91"/>
      <c r="AS60" s="91">
        <v>40000</v>
      </c>
      <c r="AT60" s="91"/>
      <c r="AU60" s="91">
        <v>24190</v>
      </c>
      <c r="AV60" s="91">
        <v>67740</v>
      </c>
      <c r="AW60" s="91"/>
      <c r="AX60" s="91"/>
      <c r="AY60" s="91"/>
      <c r="AZ60" s="277"/>
      <c r="BA60" s="277"/>
      <c r="BB60" s="91">
        <f t="shared" si="0"/>
        <v>1722250</v>
      </c>
      <c r="BC60" s="91"/>
      <c r="BD60" s="91"/>
      <c r="BE60" s="301"/>
      <c r="BF60" s="278"/>
      <c r="BG60" s="278"/>
      <c r="BH60" s="278"/>
      <c r="BI60" s="278"/>
      <c r="BJ60" s="278">
        <v>0</v>
      </c>
      <c r="BK60" s="278"/>
      <c r="BL60" s="302"/>
      <c r="BM60" s="73"/>
      <c r="BN60" s="302">
        <v>17840</v>
      </c>
      <c r="BO60" s="91"/>
      <c r="BP60" s="389">
        <v>34610</v>
      </c>
      <c r="BQ60" s="91">
        <f t="shared" si="1"/>
        <v>52450</v>
      </c>
      <c r="BR60" s="91">
        <f t="shared" si="2"/>
        <v>1669800</v>
      </c>
    </row>
    <row r="61" spans="1:70" s="96" customFormat="1" ht="15.95" customHeight="1">
      <c r="A61" s="266">
        <v>5</v>
      </c>
      <c r="B61" s="69"/>
      <c r="C61" s="69"/>
      <c r="D61" s="274"/>
      <c r="E61" s="275"/>
      <c r="F61" s="72" t="s">
        <v>203</v>
      </c>
      <c r="G61" s="69">
        <v>365</v>
      </c>
      <c r="H61" s="69" t="s">
        <v>204</v>
      </c>
      <c r="I61" s="74">
        <v>43374</v>
      </c>
      <c r="J61" s="74">
        <v>43374</v>
      </c>
      <c r="K61" s="81">
        <v>2</v>
      </c>
      <c r="L61" s="82">
        <v>5</v>
      </c>
      <c r="M61" s="83">
        <v>0</v>
      </c>
      <c r="N61" s="81">
        <v>1</v>
      </c>
      <c r="O61" s="82">
        <v>5</v>
      </c>
      <c r="P61" s="83">
        <v>1</v>
      </c>
      <c r="Q61" s="81"/>
      <c r="R61" s="82"/>
      <c r="S61" s="83"/>
      <c r="T61" s="84">
        <v>1</v>
      </c>
      <c r="U61" s="82">
        <v>5</v>
      </c>
      <c r="V61" s="83">
        <v>1</v>
      </c>
      <c r="W61" s="106"/>
      <c r="X61" s="74">
        <v>43374</v>
      </c>
      <c r="Y61" s="74" t="s">
        <v>205</v>
      </c>
      <c r="Z61" s="87"/>
      <c r="AA61" s="73">
        <v>44985</v>
      </c>
      <c r="AB61" s="73" t="s">
        <v>209</v>
      </c>
      <c r="AC61" s="73">
        <v>1823000</v>
      </c>
      <c r="AD61" s="91"/>
      <c r="AE61" s="91"/>
      <c r="AF61" s="91">
        <v>31</v>
      </c>
      <c r="AG61" s="91">
        <v>31</v>
      </c>
      <c r="AH61" s="91"/>
      <c r="AI61" s="276">
        <v>40</v>
      </c>
      <c r="AJ61" s="91">
        <v>1840000</v>
      </c>
      <c r="AK61" s="276"/>
      <c r="AL61" s="276"/>
      <c r="AM61" s="276"/>
      <c r="AN61" s="276"/>
      <c r="AO61" s="276">
        <v>700000</v>
      </c>
      <c r="AP61" s="91"/>
      <c r="AQ61" s="276"/>
      <c r="AR61" s="91"/>
      <c r="AS61" s="91"/>
      <c r="AT61" s="91"/>
      <c r="AU61" s="91">
        <v>50000</v>
      </c>
      <c r="AV61" s="91">
        <v>140000</v>
      </c>
      <c r="AW61" s="91"/>
      <c r="AX61" s="91"/>
      <c r="AY61" s="91"/>
      <c r="AZ61" s="277"/>
      <c r="BA61" s="277"/>
      <c r="BB61" s="91">
        <f t="shared" si="0"/>
        <v>2730000</v>
      </c>
      <c r="BC61" s="91"/>
      <c r="BD61" s="91"/>
      <c r="BE61" s="301"/>
      <c r="BF61" s="278"/>
      <c r="BG61" s="278">
        <v>108450</v>
      </c>
      <c r="BH61" s="278">
        <v>85740</v>
      </c>
      <c r="BI61" s="278">
        <v>9870</v>
      </c>
      <c r="BJ61" s="278">
        <v>6350</v>
      </c>
      <c r="BK61" s="278">
        <v>18740</v>
      </c>
      <c r="BL61" s="302">
        <v>690</v>
      </c>
      <c r="BM61" s="73">
        <v>600000</v>
      </c>
      <c r="BN61" s="302">
        <v>-1310</v>
      </c>
      <c r="BO61" s="91"/>
      <c r="BP61" s="388">
        <v>55600</v>
      </c>
      <c r="BQ61" s="91">
        <f t="shared" si="1"/>
        <v>884130</v>
      </c>
      <c r="BR61" s="91">
        <f t="shared" si="2"/>
        <v>1845870</v>
      </c>
    </row>
    <row r="62" spans="1:70" s="96" customFormat="1" ht="15.95" customHeight="1">
      <c r="A62" s="266">
        <v>5</v>
      </c>
      <c r="B62" s="69"/>
      <c r="C62" s="69"/>
      <c r="D62" s="274"/>
      <c r="E62" s="275"/>
      <c r="F62" s="72" t="s">
        <v>203</v>
      </c>
      <c r="G62" s="69">
        <v>365</v>
      </c>
      <c r="H62" s="69" t="s">
        <v>204</v>
      </c>
      <c r="I62" s="74">
        <v>43160</v>
      </c>
      <c r="J62" s="74">
        <v>43160</v>
      </c>
      <c r="K62" s="81">
        <v>3</v>
      </c>
      <c r="L62" s="82">
        <v>0</v>
      </c>
      <c r="M62" s="83">
        <v>0</v>
      </c>
      <c r="N62" s="81">
        <v>2</v>
      </c>
      <c r="O62" s="82">
        <v>0</v>
      </c>
      <c r="P62" s="83">
        <v>1</v>
      </c>
      <c r="Q62" s="81"/>
      <c r="R62" s="82"/>
      <c r="S62" s="83"/>
      <c r="T62" s="84">
        <v>2</v>
      </c>
      <c r="U62" s="82">
        <v>0</v>
      </c>
      <c r="V62" s="83">
        <v>1</v>
      </c>
      <c r="W62" s="106"/>
      <c r="X62" s="74">
        <v>43160</v>
      </c>
      <c r="Y62" s="74" t="s">
        <v>205</v>
      </c>
      <c r="Z62" s="87"/>
      <c r="AA62" s="73">
        <v>47907</v>
      </c>
      <c r="AB62" s="73" t="s">
        <v>210</v>
      </c>
      <c r="AC62" s="73">
        <v>1823000</v>
      </c>
      <c r="AD62" s="91"/>
      <c r="AE62" s="91"/>
      <c r="AF62" s="91">
        <v>31</v>
      </c>
      <c r="AG62" s="91">
        <v>31</v>
      </c>
      <c r="AH62" s="91"/>
      <c r="AI62" s="276">
        <v>20</v>
      </c>
      <c r="AJ62" s="91">
        <v>920000</v>
      </c>
      <c r="AK62" s="276"/>
      <c r="AL62" s="276"/>
      <c r="AM62" s="276"/>
      <c r="AN62" s="276"/>
      <c r="AO62" s="276">
        <v>17500</v>
      </c>
      <c r="AP62" s="91"/>
      <c r="AQ62" s="276"/>
      <c r="AR62" s="91"/>
      <c r="AS62" s="91"/>
      <c r="AT62" s="91"/>
      <c r="AU62" s="91"/>
      <c r="AV62" s="91">
        <v>140000</v>
      </c>
      <c r="AW62" s="91"/>
      <c r="AX62" s="91"/>
      <c r="AY62" s="91"/>
      <c r="AZ62" s="277"/>
      <c r="BA62" s="277"/>
      <c r="BB62" s="91">
        <f t="shared" si="0"/>
        <v>1077500</v>
      </c>
      <c r="BC62" s="91"/>
      <c r="BD62" s="91"/>
      <c r="BE62" s="301"/>
      <c r="BF62" s="278"/>
      <c r="BG62" s="278">
        <v>43920</v>
      </c>
      <c r="BH62" s="278">
        <v>14930</v>
      </c>
      <c r="BI62" s="278">
        <v>1710</v>
      </c>
      <c r="BJ62" s="278">
        <v>-76670</v>
      </c>
      <c r="BK62" s="278">
        <v>4400</v>
      </c>
      <c r="BL62" s="302">
        <v>-7820</v>
      </c>
      <c r="BM62" s="73"/>
      <c r="BN62" s="302">
        <v>-15500</v>
      </c>
      <c r="BO62" s="91"/>
      <c r="BP62" s="91"/>
      <c r="BQ62" s="91">
        <f t="shared" si="1"/>
        <v>-35030</v>
      </c>
      <c r="BR62" s="91">
        <f t="shared" si="2"/>
        <v>1112530</v>
      </c>
    </row>
    <row r="63" spans="1:70" s="96" customFormat="1" ht="15.95" customHeight="1">
      <c r="A63" s="266">
        <v>5</v>
      </c>
      <c r="B63" s="69"/>
      <c r="C63" s="69"/>
      <c r="D63" s="274"/>
      <c r="E63" s="275"/>
      <c r="F63" s="72" t="s">
        <v>203</v>
      </c>
      <c r="G63" s="69">
        <v>365</v>
      </c>
      <c r="H63" s="69" t="s">
        <v>211</v>
      </c>
      <c r="I63" s="74">
        <v>43160</v>
      </c>
      <c r="J63" s="74">
        <v>43160</v>
      </c>
      <c r="K63" s="81">
        <v>3</v>
      </c>
      <c r="L63" s="82">
        <v>0</v>
      </c>
      <c r="M63" s="83">
        <v>0</v>
      </c>
      <c r="N63" s="81">
        <v>2</v>
      </c>
      <c r="O63" s="82">
        <v>0</v>
      </c>
      <c r="P63" s="83">
        <v>1</v>
      </c>
      <c r="Q63" s="81"/>
      <c r="R63" s="82"/>
      <c r="S63" s="83"/>
      <c r="T63" s="84">
        <v>2</v>
      </c>
      <c r="U63" s="82">
        <v>0</v>
      </c>
      <c r="V63" s="83">
        <v>1</v>
      </c>
      <c r="W63" s="106"/>
      <c r="X63" s="74">
        <v>43160</v>
      </c>
      <c r="Y63" s="74" t="s">
        <v>205</v>
      </c>
      <c r="Z63" s="87"/>
      <c r="AA63" s="73">
        <v>49552</v>
      </c>
      <c r="AB63" s="73" t="s">
        <v>212</v>
      </c>
      <c r="AC63" s="73">
        <v>1823000</v>
      </c>
      <c r="AD63" s="91"/>
      <c r="AE63" s="91"/>
      <c r="AF63" s="91">
        <v>31</v>
      </c>
      <c r="AG63" s="91">
        <v>31</v>
      </c>
      <c r="AH63" s="91"/>
      <c r="AI63" s="276">
        <v>20</v>
      </c>
      <c r="AJ63" s="91">
        <v>920000</v>
      </c>
      <c r="AK63" s="276"/>
      <c r="AL63" s="276"/>
      <c r="AM63" s="276"/>
      <c r="AN63" s="276"/>
      <c r="AO63" s="276">
        <v>17500</v>
      </c>
      <c r="AP63" s="91"/>
      <c r="AQ63" s="276"/>
      <c r="AR63" s="91"/>
      <c r="AS63" s="91">
        <v>20000</v>
      </c>
      <c r="AT63" s="91"/>
      <c r="AU63" s="91"/>
      <c r="AV63" s="91">
        <v>140000</v>
      </c>
      <c r="AW63" s="91"/>
      <c r="AX63" s="91"/>
      <c r="AY63" s="91"/>
      <c r="AZ63" s="277"/>
      <c r="BA63" s="277"/>
      <c r="BB63" s="91">
        <f t="shared" si="0"/>
        <v>1097500</v>
      </c>
      <c r="BC63" s="91"/>
      <c r="BD63" s="91"/>
      <c r="BE63" s="301"/>
      <c r="BF63" s="278"/>
      <c r="BG63" s="278">
        <v>43920</v>
      </c>
      <c r="BH63" s="278">
        <v>16730</v>
      </c>
      <c r="BI63" s="278">
        <v>1930</v>
      </c>
      <c r="BJ63" s="278">
        <v>-69190</v>
      </c>
      <c r="BK63" s="278">
        <v>18240</v>
      </c>
      <c r="BL63" s="302">
        <v>-7040</v>
      </c>
      <c r="BM63" s="73"/>
      <c r="BN63" s="302">
        <v>67250</v>
      </c>
      <c r="BO63" s="91"/>
      <c r="BP63" s="91"/>
      <c r="BQ63" s="91">
        <f t="shared" si="1"/>
        <v>71840</v>
      </c>
      <c r="BR63" s="91">
        <f t="shared" si="2"/>
        <v>1025660</v>
      </c>
    </row>
    <row r="64" spans="1:70" s="96" customFormat="1" ht="15.95" customHeight="1">
      <c r="A64" s="266">
        <v>5</v>
      </c>
      <c r="B64" s="69"/>
      <c r="C64" s="69"/>
      <c r="D64" s="274"/>
      <c r="E64" s="275"/>
      <c r="F64" s="72" t="s">
        <v>207</v>
      </c>
      <c r="G64" s="69">
        <v>200</v>
      </c>
      <c r="H64" s="69"/>
      <c r="I64" s="74">
        <v>41605</v>
      </c>
      <c r="J64" s="74">
        <v>41605</v>
      </c>
      <c r="K64" s="81">
        <v>7</v>
      </c>
      <c r="L64" s="82">
        <v>3</v>
      </c>
      <c r="M64" s="83">
        <v>2</v>
      </c>
      <c r="N64" s="81">
        <v>6</v>
      </c>
      <c r="O64" s="82">
        <v>3</v>
      </c>
      <c r="P64" s="83">
        <v>6</v>
      </c>
      <c r="Q64" s="81"/>
      <c r="R64" s="82"/>
      <c r="S64" s="83"/>
      <c r="T64" s="84">
        <v>6</v>
      </c>
      <c r="U64" s="82">
        <v>3</v>
      </c>
      <c r="V64" s="83">
        <v>6</v>
      </c>
      <c r="W64" s="106" t="s">
        <v>213</v>
      </c>
      <c r="X64" s="74"/>
      <c r="Y64" s="74" t="s">
        <v>205</v>
      </c>
      <c r="Z64" s="87"/>
      <c r="AA64" s="73"/>
      <c r="AB64" s="73" t="s">
        <v>214</v>
      </c>
      <c r="AC64" s="73">
        <v>35000</v>
      </c>
      <c r="AD64" s="91"/>
      <c r="AE64" s="91"/>
      <c r="AF64" s="91">
        <v>31</v>
      </c>
      <c r="AG64" s="91">
        <v>31</v>
      </c>
      <c r="AH64" s="91"/>
      <c r="AI64" s="276">
        <v>20</v>
      </c>
      <c r="AJ64" s="91">
        <v>1069500</v>
      </c>
      <c r="AK64" s="276"/>
      <c r="AL64" s="276"/>
      <c r="AM64" s="276">
        <v>125000</v>
      </c>
      <c r="AN64" s="276">
        <v>35000</v>
      </c>
      <c r="AO64" s="276"/>
      <c r="AP64" s="91"/>
      <c r="AQ64" s="276"/>
      <c r="AR64" s="91"/>
      <c r="AS64" s="91">
        <v>70000</v>
      </c>
      <c r="AT64" s="91"/>
      <c r="AU64" s="91"/>
      <c r="AV64" s="91">
        <v>70000</v>
      </c>
      <c r="AW64" s="91"/>
      <c r="AX64" s="91"/>
      <c r="AY64" s="91"/>
      <c r="AZ64" s="277"/>
      <c r="BA64" s="277"/>
      <c r="BB64" s="91">
        <f t="shared" si="0"/>
        <v>1369500</v>
      </c>
      <c r="BC64" s="91"/>
      <c r="BD64" s="91"/>
      <c r="BE64" s="301"/>
      <c r="BF64" s="278"/>
      <c r="BG64" s="278">
        <v>66330</v>
      </c>
      <c r="BH64" s="278">
        <v>42060</v>
      </c>
      <c r="BI64" s="278">
        <v>4840</v>
      </c>
      <c r="BJ64" s="278"/>
      <c r="BK64" s="278">
        <v>11770</v>
      </c>
      <c r="BL64" s="302"/>
      <c r="BM64" s="73"/>
      <c r="BN64" s="302"/>
      <c r="BO64" s="91"/>
      <c r="BP64" s="91"/>
      <c r="BQ64" s="91">
        <f t="shared" si="1"/>
        <v>125000</v>
      </c>
      <c r="BR64" s="91">
        <f t="shared" si="2"/>
        <v>1244500</v>
      </c>
    </row>
    <row r="65" spans="1:87" s="96" customFormat="1" ht="15.95" customHeight="1">
      <c r="A65" s="266">
        <v>5</v>
      </c>
      <c r="B65" s="69"/>
      <c r="C65" s="69"/>
      <c r="D65" s="274"/>
      <c r="E65" s="275"/>
      <c r="F65" s="72" t="s">
        <v>203</v>
      </c>
      <c r="G65" s="69">
        <v>365</v>
      </c>
      <c r="H65" s="69"/>
      <c r="I65" s="74">
        <v>41122</v>
      </c>
      <c r="J65" s="74">
        <v>41122</v>
      </c>
      <c r="K65" s="81">
        <v>8</v>
      </c>
      <c r="L65" s="82">
        <v>7</v>
      </c>
      <c r="M65" s="83">
        <v>0</v>
      </c>
      <c r="N65" s="81">
        <v>7</v>
      </c>
      <c r="O65" s="82">
        <v>7</v>
      </c>
      <c r="P65" s="83">
        <v>1</v>
      </c>
      <c r="Q65" s="81"/>
      <c r="R65" s="82"/>
      <c r="S65" s="83"/>
      <c r="T65" s="84">
        <v>7</v>
      </c>
      <c r="U65" s="82">
        <v>7</v>
      </c>
      <c r="V65" s="83">
        <v>1</v>
      </c>
      <c r="W65" s="106" t="s">
        <v>213</v>
      </c>
      <c r="X65" s="74"/>
      <c r="Y65" s="74" t="s">
        <v>205</v>
      </c>
      <c r="Z65" s="87"/>
      <c r="AA65" s="73"/>
      <c r="AB65" s="73" t="s">
        <v>215</v>
      </c>
      <c r="AC65" s="73">
        <v>520000</v>
      </c>
      <c r="AD65" s="91"/>
      <c r="AE65" s="91"/>
      <c r="AF65" s="91">
        <v>31</v>
      </c>
      <c r="AG65" s="91">
        <v>31</v>
      </c>
      <c r="AH65" s="91"/>
      <c r="AI65" s="276">
        <v>40</v>
      </c>
      <c r="AJ65" s="91">
        <v>2200000</v>
      </c>
      <c r="AK65" s="276">
        <v>100000</v>
      </c>
      <c r="AL65" s="276"/>
      <c r="AM65" s="276"/>
      <c r="AN65" s="276"/>
      <c r="AO65" s="276"/>
      <c r="AP65" s="91"/>
      <c r="AQ65" s="276"/>
      <c r="AR65" s="91"/>
      <c r="AS65" s="91"/>
      <c r="AT65" s="91"/>
      <c r="AU65" s="91"/>
      <c r="AV65" s="91"/>
      <c r="AW65" s="91"/>
      <c r="AX65" s="91"/>
      <c r="AY65" s="91"/>
      <c r="AZ65" s="277"/>
      <c r="BA65" s="277"/>
      <c r="BB65" s="91">
        <f t="shared" si="0"/>
        <v>2300000</v>
      </c>
      <c r="BC65" s="91"/>
      <c r="BD65" s="91"/>
      <c r="BE65" s="301"/>
      <c r="BF65" s="278"/>
      <c r="BG65" s="278">
        <v>114340</v>
      </c>
      <c r="BH65" s="278">
        <v>87170</v>
      </c>
      <c r="BI65" s="278">
        <v>10040</v>
      </c>
      <c r="BJ65" s="278"/>
      <c r="BK65" s="278"/>
      <c r="BL65" s="302"/>
      <c r="BM65" s="73"/>
      <c r="BN65" s="302"/>
      <c r="BO65" s="91"/>
      <c r="BP65" s="91"/>
      <c r="BQ65" s="91">
        <f t="shared" si="1"/>
        <v>211550</v>
      </c>
      <c r="BR65" s="91">
        <f t="shared" si="2"/>
        <v>2088450</v>
      </c>
    </row>
    <row r="66" spans="1:87" s="96" customFormat="1" ht="15.95" customHeight="1">
      <c r="A66" s="266">
        <v>5</v>
      </c>
      <c r="B66" s="69"/>
      <c r="C66" s="69"/>
      <c r="D66" s="274"/>
      <c r="E66" s="275"/>
      <c r="F66" s="72" t="s">
        <v>203</v>
      </c>
      <c r="G66" s="69">
        <v>365</v>
      </c>
      <c r="H66" s="69"/>
      <c r="I66" s="74">
        <v>41699</v>
      </c>
      <c r="J66" s="74">
        <v>41699</v>
      </c>
      <c r="K66" s="81">
        <v>7</v>
      </c>
      <c r="L66" s="82">
        <v>0</v>
      </c>
      <c r="M66" s="83">
        <v>0</v>
      </c>
      <c r="N66" s="81">
        <v>6</v>
      </c>
      <c r="O66" s="82">
        <v>0</v>
      </c>
      <c r="P66" s="83">
        <v>1</v>
      </c>
      <c r="Q66" s="81"/>
      <c r="R66" s="82"/>
      <c r="S66" s="83"/>
      <c r="T66" s="84">
        <v>6</v>
      </c>
      <c r="U66" s="82">
        <v>0</v>
      </c>
      <c r="V66" s="83">
        <v>1</v>
      </c>
      <c r="W66" s="106" t="s">
        <v>213</v>
      </c>
      <c r="X66" s="74"/>
      <c r="Y66" s="74" t="s">
        <v>205</v>
      </c>
      <c r="Z66" s="87"/>
      <c r="AA66" s="73"/>
      <c r="AB66" s="73" t="s">
        <v>217</v>
      </c>
      <c r="AC66" s="73">
        <v>2117500</v>
      </c>
      <c r="AD66" s="91"/>
      <c r="AE66" s="91"/>
      <c r="AF66" s="91">
        <v>31</v>
      </c>
      <c r="AG66" s="91">
        <v>31</v>
      </c>
      <c r="AH66" s="91"/>
      <c r="AI66" s="276">
        <v>14</v>
      </c>
      <c r="AJ66" s="91">
        <v>600000</v>
      </c>
      <c r="AK66" s="276"/>
      <c r="AL66" s="276"/>
      <c r="AM66" s="276"/>
      <c r="AN66" s="276"/>
      <c r="AO66" s="276"/>
      <c r="AP66" s="91"/>
      <c r="AQ66" s="276"/>
      <c r="AR66" s="91"/>
      <c r="AS66" s="91"/>
      <c r="AT66" s="91"/>
      <c r="AU66" s="91"/>
      <c r="AV66" s="91"/>
      <c r="AW66" s="91"/>
      <c r="AX66" s="91"/>
      <c r="AY66" s="91"/>
      <c r="AZ66" s="277"/>
      <c r="BA66" s="277"/>
      <c r="BB66" s="91">
        <f t="shared" si="0"/>
        <v>600000</v>
      </c>
      <c r="BC66" s="91"/>
      <c r="BD66" s="91"/>
      <c r="BE66" s="301"/>
      <c r="BF66" s="278"/>
      <c r="BG66" s="278"/>
      <c r="BH66" s="278"/>
      <c r="BI66" s="278"/>
      <c r="BJ66" s="278"/>
      <c r="BK66" s="278"/>
      <c r="BL66" s="302"/>
      <c r="BM66" s="302"/>
      <c r="BN66" s="302"/>
      <c r="BO66" s="91"/>
      <c r="BP66" s="91"/>
      <c r="BQ66" s="91">
        <f t="shared" si="1"/>
        <v>0</v>
      </c>
      <c r="BR66" s="91">
        <f t="shared" si="2"/>
        <v>600000</v>
      </c>
    </row>
    <row r="67" spans="1:87" s="96" customFormat="1" ht="15.95" customHeight="1">
      <c r="A67" s="266">
        <v>5</v>
      </c>
      <c r="B67" s="69"/>
      <c r="C67" s="69"/>
      <c r="D67" s="274"/>
      <c r="E67" s="275"/>
      <c r="F67" s="72"/>
      <c r="G67" s="69"/>
      <c r="H67" s="69"/>
      <c r="I67" s="74"/>
      <c r="J67" s="74"/>
      <c r="K67" s="81"/>
      <c r="L67" s="82"/>
      <c r="M67" s="83"/>
      <c r="N67" s="81"/>
      <c r="O67" s="82"/>
      <c r="P67" s="83"/>
      <c r="Q67" s="81"/>
      <c r="R67" s="82"/>
      <c r="S67" s="83"/>
      <c r="T67" s="84"/>
      <c r="U67" s="82"/>
      <c r="V67" s="83"/>
      <c r="W67" s="106"/>
      <c r="X67" s="74"/>
      <c r="Y67" s="74"/>
      <c r="Z67" s="87"/>
      <c r="AA67" s="73"/>
      <c r="AB67" s="73"/>
      <c r="AC67" s="73"/>
      <c r="AD67" s="91"/>
      <c r="AE67" s="91"/>
      <c r="AF67" s="91">
        <v>14</v>
      </c>
      <c r="AG67" s="91">
        <v>31</v>
      </c>
      <c r="AH67" s="91"/>
      <c r="AI67" s="276">
        <v>40</v>
      </c>
      <c r="AJ67" s="91">
        <v>830960</v>
      </c>
      <c r="AK67" s="276"/>
      <c r="AL67" s="276"/>
      <c r="AM67" s="276"/>
      <c r="AN67" s="276"/>
      <c r="AO67" s="276"/>
      <c r="AP67" s="91"/>
      <c r="AQ67" s="276"/>
      <c r="AR67" s="91"/>
      <c r="AS67" s="91"/>
      <c r="AT67" s="91"/>
      <c r="AU67" s="91">
        <v>22580</v>
      </c>
      <c r="AV67" s="91">
        <v>63220</v>
      </c>
      <c r="AW67" s="91"/>
      <c r="AX67" s="91"/>
      <c r="AY67" s="91"/>
      <c r="AZ67" s="277"/>
      <c r="BA67" s="277"/>
      <c r="BB67" s="91">
        <f t="shared" si="0"/>
        <v>916760</v>
      </c>
      <c r="BC67" s="91"/>
      <c r="BD67" s="91"/>
      <c r="BE67" s="301"/>
      <c r="BF67" s="278"/>
      <c r="BG67" s="278"/>
      <c r="BH67" s="278"/>
      <c r="BI67" s="278"/>
      <c r="BJ67" s="278"/>
      <c r="BK67" s="278">
        <v>15180</v>
      </c>
      <c r="BL67" s="302"/>
      <c r="BM67" s="302"/>
      <c r="BN67" s="302"/>
      <c r="BO67" s="91"/>
      <c r="BP67" s="91"/>
      <c r="BQ67" s="91">
        <f t="shared" si="1"/>
        <v>15180</v>
      </c>
      <c r="BR67" s="91">
        <f t="shared" si="2"/>
        <v>901580</v>
      </c>
    </row>
    <row r="68" spans="1:87" s="96" customFormat="1" ht="15.95" customHeight="1">
      <c r="A68" s="266">
        <v>5</v>
      </c>
      <c r="B68" s="69"/>
      <c r="C68" s="69"/>
      <c r="D68" s="274"/>
      <c r="E68" s="275"/>
      <c r="F68" s="72"/>
      <c r="G68" s="69"/>
      <c r="H68" s="69"/>
      <c r="I68" s="74"/>
      <c r="J68" s="74"/>
      <c r="K68" s="81"/>
      <c r="L68" s="82"/>
      <c r="M68" s="83"/>
      <c r="N68" s="81"/>
      <c r="O68" s="82"/>
      <c r="P68" s="83"/>
      <c r="Q68" s="81"/>
      <c r="R68" s="82"/>
      <c r="S68" s="83"/>
      <c r="T68" s="84"/>
      <c r="U68" s="82"/>
      <c r="V68" s="83"/>
      <c r="W68" s="106"/>
      <c r="X68" s="74"/>
      <c r="Y68" s="74"/>
      <c r="Z68" s="87"/>
      <c r="AA68" s="73"/>
      <c r="AB68" s="73"/>
      <c r="AC68" s="73"/>
      <c r="AD68" s="91"/>
      <c r="AE68" s="91"/>
      <c r="AF68" s="91"/>
      <c r="AG68" s="91"/>
      <c r="AH68" s="91"/>
      <c r="AI68" s="276">
        <v>13.5</v>
      </c>
      <c r="AJ68" s="91">
        <v>1225000</v>
      </c>
      <c r="AK68" s="276"/>
      <c r="AL68" s="276"/>
      <c r="AM68" s="276"/>
      <c r="AN68" s="276"/>
      <c r="AO68" s="276"/>
      <c r="AP68" s="91"/>
      <c r="AQ68" s="276"/>
      <c r="AR68" s="91"/>
      <c r="AS68" s="91"/>
      <c r="AT68" s="91"/>
      <c r="AU68" s="91"/>
      <c r="AV68" s="91"/>
      <c r="AW68" s="91"/>
      <c r="AX68" s="91"/>
      <c r="AY68" s="91"/>
      <c r="AZ68" s="277"/>
      <c r="BA68" s="277"/>
      <c r="BB68" s="91">
        <f t="shared" si="0"/>
        <v>1225000</v>
      </c>
      <c r="BC68" s="91"/>
      <c r="BD68" s="91"/>
      <c r="BE68" s="301"/>
      <c r="BF68" s="278"/>
      <c r="BG68" s="278"/>
      <c r="BH68" s="278"/>
      <c r="BI68" s="278"/>
      <c r="BJ68" s="278"/>
      <c r="BK68" s="278">
        <v>10800</v>
      </c>
      <c r="BL68" s="302"/>
      <c r="BM68" s="302"/>
      <c r="BN68" s="302">
        <v>3600</v>
      </c>
      <c r="BO68" s="91"/>
      <c r="BP68" s="91"/>
      <c r="BQ68" s="91">
        <f t="shared" si="1"/>
        <v>14400</v>
      </c>
      <c r="BR68" s="91">
        <f t="shared" si="2"/>
        <v>1210600</v>
      </c>
    </row>
    <row r="69" spans="1:87" s="96" customFormat="1" ht="15.95" customHeight="1">
      <c r="A69" s="468">
        <v>6</v>
      </c>
      <c r="B69" s="282"/>
      <c r="C69" s="282"/>
      <c r="D69" s="283"/>
      <c r="E69" s="284"/>
      <c r="F69" s="285" t="s">
        <v>272</v>
      </c>
      <c r="G69" s="282">
        <v>365</v>
      </c>
      <c r="H69" s="282" t="s">
        <v>204</v>
      </c>
      <c r="I69" s="286">
        <v>43374</v>
      </c>
      <c r="J69" s="286">
        <v>43374</v>
      </c>
      <c r="K69" s="287">
        <v>3</v>
      </c>
      <c r="L69" s="288">
        <v>5</v>
      </c>
      <c r="M69" s="289">
        <v>0</v>
      </c>
      <c r="N69" s="287">
        <v>2</v>
      </c>
      <c r="O69" s="288">
        <v>5</v>
      </c>
      <c r="P69" s="289">
        <v>1</v>
      </c>
      <c r="Q69" s="287"/>
      <c r="R69" s="288"/>
      <c r="S69" s="289"/>
      <c r="T69" s="290">
        <v>2</v>
      </c>
      <c r="U69" s="288">
        <v>5</v>
      </c>
      <c r="V69" s="289">
        <v>1</v>
      </c>
      <c r="W69" s="291"/>
      <c r="X69" s="286">
        <v>43374</v>
      </c>
      <c r="Y69" s="286" t="s">
        <v>205</v>
      </c>
      <c r="Z69" s="292"/>
      <c r="AA69" s="293">
        <v>44439</v>
      </c>
      <c r="AB69" s="293" t="s">
        <v>273</v>
      </c>
      <c r="AC69" s="293">
        <v>1840000</v>
      </c>
      <c r="AD69" s="294"/>
      <c r="AE69" s="294"/>
      <c r="AF69" s="294">
        <v>30</v>
      </c>
      <c r="AG69" s="294">
        <v>30</v>
      </c>
      <c r="AH69" s="294"/>
      <c r="AI69" s="295">
        <v>27.5</v>
      </c>
      <c r="AJ69" s="294">
        <v>1265000</v>
      </c>
      <c r="AK69" s="295"/>
      <c r="AL69" s="295"/>
      <c r="AM69" s="295"/>
      <c r="AN69" s="295"/>
      <c r="AO69" s="295"/>
      <c r="AP69" s="294"/>
      <c r="AQ69" s="295">
        <v>0</v>
      </c>
      <c r="AR69" s="294"/>
      <c r="AS69" s="294"/>
      <c r="AT69" s="294">
        <v>0</v>
      </c>
      <c r="AU69" s="294"/>
      <c r="AV69" s="294">
        <v>140000</v>
      </c>
      <c r="AW69" s="294"/>
      <c r="AX69" s="294"/>
      <c r="AY69" s="294"/>
      <c r="AZ69" s="296"/>
      <c r="BA69" s="294"/>
      <c r="BB69" s="294">
        <v>1405000</v>
      </c>
      <c r="BC69" s="294"/>
      <c r="BD69" s="294">
        <v>1381675</v>
      </c>
      <c r="BE69" s="304"/>
      <c r="BF69" s="299">
        <v>0</v>
      </c>
      <c r="BG69" s="299">
        <v>0</v>
      </c>
      <c r="BH69" s="299">
        <v>47390</v>
      </c>
      <c r="BI69" s="299">
        <v>5450</v>
      </c>
      <c r="BJ69" s="299"/>
      <c r="BK69" s="299">
        <v>10010</v>
      </c>
      <c r="BL69" s="300"/>
      <c r="BM69" s="300"/>
      <c r="BN69" s="300"/>
      <c r="BO69" s="294"/>
      <c r="BP69" s="294"/>
      <c r="BQ69" s="294">
        <v>62850</v>
      </c>
      <c r="BR69" s="294">
        <v>1342150</v>
      </c>
      <c r="BS69" s="96">
        <v>1251341</v>
      </c>
      <c r="BT69" s="96">
        <v>1251341</v>
      </c>
      <c r="BW69" s="96">
        <v>0</v>
      </c>
      <c r="BX69" s="96">
        <v>47390</v>
      </c>
      <c r="BY69" s="96">
        <v>5450</v>
      </c>
      <c r="CA69" s="96">
        <v>12090</v>
      </c>
      <c r="CB69" s="96">
        <v>11740</v>
      </c>
      <c r="CE69" s="96">
        <v>13810</v>
      </c>
      <c r="CF69" s="96">
        <v>90480</v>
      </c>
      <c r="CH69" s="96">
        <v>33840</v>
      </c>
      <c r="CI69" s="96">
        <v>33840</v>
      </c>
    </row>
    <row r="70" spans="1:87" s="96" customFormat="1" ht="15.95" customHeight="1">
      <c r="A70" s="468">
        <v>6</v>
      </c>
      <c r="B70" s="282"/>
      <c r="C70" s="282"/>
      <c r="D70" s="283"/>
      <c r="E70" s="284"/>
      <c r="F70" s="285" t="s">
        <v>272</v>
      </c>
      <c r="G70" s="282">
        <v>365</v>
      </c>
      <c r="H70" s="282" t="s">
        <v>204</v>
      </c>
      <c r="I70" s="286">
        <v>41701</v>
      </c>
      <c r="J70" s="286">
        <v>43160</v>
      </c>
      <c r="K70" s="287">
        <v>4</v>
      </c>
      <c r="L70" s="288">
        <v>0</v>
      </c>
      <c r="M70" s="289">
        <v>0</v>
      </c>
      <c r="N70" s="287">
        <v>3</v>
      </c>
      <c r="O70" s="288">
        <v>0</v>
      </c>
      <c r="P70" s="289">
        <v>1</v>
      </c>
      <c r="Q70" s="287"/>
      <c r="R70" s="288"/>
      <c r="S70" s="289"/>
      <c r="T70" s="290">
        <v>3</v>
      </c>
      <c r="U70" s="288">
        <v>0</v>
      </c>
      <c r="V70" s="289">
        <v>1</v>
      </c>
      <c r="W70" s="291"/>
      <c r="X70" s="286">
        <v>43160</v>
      </c>
      <c r="Y70" s="286" t="s">
        <v>205</v>
      </c>
      <c r="Z70" s="292"/>
      <c r="AA70" s="293">
        <v>49368</v>
      </c>
      <c r="AB70" s="293" t="s">
        <v>274</v>
      </c>
      <c r="AC70" s="293">
        <v>1840000</v>
      </c>
      <c r="AD70" s="294"/>
      <c r="AE70" s="294"/>
      <c r="AF70" s="294">
        <v>30</v>
      </c>
      <c r="AG70" s="294">
        <v>30</v>
      </c>
      <c r="AH70" s="294"/>
      <c r="AI70" s="295">
        <v>20</v>
      </c>
      <c r="AJ70" s="294">
        <v>920000</v>
      </c>
      <c r="AK70" s="295"/>
      <c r="AL70" s="295"/>
      <c r="AM70" s="295"/>
      <c r="AN70" s="295"/>
      <c r="AO70" s="295">
        <v>52500</v>
      </c>
      <c r="AP70" s="294"/>
      <c r="AQ70" s="295">
        <v>0</v>
      </c>
      <c r="AR70" s="294"/>
      <c r="AS70" s="294">
        <v>30000</v>
      </c>
      <c r="AT70" s="294"/>
      <c r="AU70" s="294"/>
      <c r="AV70" s="294">
        <v>140000</v>
      </c>
      <c r="AW70" s="294">
        <v>0</v>
      </c>
      <c r="AX70" s="294"/>
      <c r="AY70" s="294"/>
      <c r="AZ70" s="296"/>
      <c r="BA70" s="294"/>
      <c r="BB70" s="294">
        <v>1142500</v>
      </c>
      <c r="BC70" s="294">
        <v>998000</v>
      </c>
      <c r="BD70" s="294">
        <v>1119840</v>
      </c>
      <c r="BE70" s="304"/>
      <c r="BF70" s="299">
        <v>0</v>
      </c>
      <c r="BG70" s="299">
        <v>44910</v>
      </c>
      <c r="BH70" s="299">
        <v>38410</v>
      </c>
      <c r="BI70" s="299">
        <v>4420</v>
      </c>
      <c r="BJ70" s="299"/>
      <c r="BK70" s="299">
        <v>8090</v>
      </c>
      <c r="BL70" s="300"/>
      <c r="BM70" s="300">
        <v>0</v>
      </c>
      <c r="BN70" s="300"/>
      <c r="BO70" s="294"/>
      <c r="BP70" s="294"/>
      <c r="BQ70" s="294">
        <v>95830</v>
      </c>
      <c r="BR70" s="294">
        <v>1046670</v>
      </c>
      <c r="BS70" s="96">
        <v>1012061</v>
      </c>
      <c r="BT70" s="96">
        <v>1012061</v>
      </c>
      <c r="BW70" s="96">
        <v>44710</v>
      </c>
      <c r="BX70" s="96">
        <v>38410</v>
      </c>
      <c r="BY70" s="96">
        <v>4420</v>
      </c>
      <c r="CA70" s="96">
        <v>9810</v>
      </c>
      <c r="CB70" s="96">
        <v>9510</v>
      </c>
      <c r="CE70" s="96">
        <v>11190</v>
      </c>
      <c r="CF70" s="96">
        <v>118050</v>
      </c>
      <c r="CH70" s="96">
        <v>27410</v>
      </c>
      <c r="CI70" s="96">
        <v>27410</v>
      </c>
    </row>
    <row r="71" spans="1:87" s="96" customFormat="1" ht="15.95" customHeight="1">
      <c r="A71" s="468">
        <v>6</v>
      </c>
      <c r="B71" s="282"/>
      <c r="C71" s="282"/>
      <c r="D71" s="283"/>
      <c r="E71" s="284"/>
      <c r="F71" s="285" t="s">
        <v>272</v>
      </c>
      <c r="G71" s="282">
        <v>365</v>
      </c>
      <c r="H71" s="282" t="s">
        <v>204</v>
      </c>
      <c r="I71" s="286">
        <v>40970</v>
      </c>
      <c r="J71" s="286">
        <v>40970</v>
      </c>
      <c r="K71" s="287">
        <v>9</v>
      </c>
      <c r="L71" s="288">
        <v>11</v>
      </c>
      <c r="M71" s="289">
        <v>27</v>
      </c>
      <c r="N71" s="287">
        <v>9</v>
      </c>
      <c r="O71" s="288">
        <v>0</v>
      </c>
      <c r="P71" s="289">
        <v>0</v>
      </c>
      <c r="Q71" s="287">
        <v>3</v>
      </c>
      <c r="R71" s="288">
        <v>4</v>
      </c>
      <c r="S71" s="289">
        <v>1</v>
      </c>
      <c r="T71" s="290">
        <v>12</v>
      </c>
      <c r="U71" s="288">
        <v>4</v>
      </c>
      <c r="V71" s="289">
        <v>1</v>
      </c>
      <c r="W71" s="291"/>
      <c r="X71" s="286">
        <v>41335</v>
      </c>
      <c r="Y71" s="286" t="s">
        <v>205</v>
      </c>
      <c r="Z71" s="292"/>
      <c r="AA71" s="293">
        <v>52109</v>
      </c>
      <c r="AB71" s="293" t="s">
        <v>275</v>
      </c>
      <c r="AC71" s="293">
        <v>1840000</v>
      </c>
      <c r="AD71" s="294"/>
      <c r="AE71" s="294"/>
      <c r="AF71" s="294">
        <v>30</v>
      </c>
      <c r="AG71" s="294">
        <v>30</v>
      </c>
      <c r="AH71" s="294"/>
      <c r="AI71" s="295">
        <v>25</v>
      </c>
      <c r="AJ71" s="294">
        <v>1150000</v>
      </c>
      <c r="AK71" s="295"/>
      <c r="AL71" s="295"/>
      <c r="AM71" s="295"/>
      <c r="AN71" s="295"/>
      <c r="AO71" s="295">
        <v>262500</v>
      </c>
      <c r="AP71" s="294"/>
      <c r="AQ71" s="295">
        <v>0</v>
      </c>
      <c r="AR71" s="294"/>
      <c r="AS71" s="294">
        <v>37500</v>
      </c>
      <c r="AT71" s="294"/>
      <c r="AU71" s="294">
        <v>0</v>
      </c>
      <c r="AV71" s="294">
        <v>140000</v>
      </c>
      <c r="AW71" s="294">
        <v>0</v>
      </c>
      <c r="AX71" s="294"/>
      <c r="AY71" s="294"/>
      <c r="AZ71" s="296"/>
      <c r="BA71" s="294"/>
      <c r="BB71" s="294">
        <v>1590000</v>
      </c>
      <c r="BC71" s="294">
        <v>1492000</v>
      </c>
      <c r="BD71" s="294">
        <v>1577480</v>
      </c>
      <c r="BE71" s="304"/>
      <c r="BF71" s="299">
        <v>0</v>
      </c>
      <c r="BG71" s="299">
        <v>67140</v>
      </c>
      <c r="BH71" s="299">
        <v>54100</v>
      </c>
      <c r="BI71" s="299">
        <v>6230</v>
      </c>
      <c r="BJ71" s="299"/>
      <c r="BK71" s="299">
        <v>12100</v>
      </c>
      <c r="BL71" s="300"/>
      <c r="BM71" s="300">
        <v>0</v>
      </c>
      <c r="BN71" s="300"/>
      <c r="BO71" s="294"/>
      <c r="BP71" s="294"/>
      <c r="BQ71" s="294">
        <v>139570</v>
      </c>
      <c r="BR71" s="294">
        <v>1450430</v>
      </c>
      <c r="BS71" s="96">
        <v>1512783</v>
      </c>
      <c r="BT71" s="96">
        <v>1512783</v>
      </c>
      <c r="BW71" s="96">
        <v>67140</v>
      </c>
      <c r="BX71" s="96">
        <v>54100</v>
      </c>
      <c r="BY71" s="96">
        <v>6230</v>
      </c>
      <c r="CA71" s="96">
        <v>13120</v>
      </c>
      <c r="CB71" s="96">
        <v>13400</v>
      </c>
      <c r="CE71" s="96">
        <v>15770</v>
      </c>
      <c r="CF71" s="96">
        <v>169760</v>
      </c>
      <c r="CH71" s="96">
        <v>38620</v>
      </c>
      <c r="CI71" s="96">
        <v>38620</v>
      </c>
    </row>
    <row r="72" spans="1:87" s="96" customFormat="1" ht="15.95" customHeight="1">
      <c r="A72" s="468">
        <v>6</v>
      </c>
      <c r="B72" s="282"/>
      <c r="C72" s="282"/>
      <c r="D72" s="283"/>
      <c r="E72" s="284"/>
      <c r="F72" s="285" t="s">
        <v>207</v>
      </c>
      <c r="G72" s="282">
        <v>300</v>
      </c>
      <c r="H72" s="282" t="s">
        <v>276</v>
      </c>
      <c r="I72" s="286">
        <v>36564</v>
      </c>
      <c r="J72" s="286">
        <v>39356</v>
      </c>
      <c r="K72" s="287">
        <v>14</v>
      </c>
      <c r="L72" s="288">
        <v>5</v>
      </c>
      <c r="M72" s="289">
        <v>0</v>
      </c>
      <c r="N72" s="287">
        <v>21</v>
      </c>
      <c r="O72" s="288">
        <v>0</v>
      </c>
      <c r="P72" s="289">
        <v>25</v>
      </c>
      <c r="Q72" s="287">
        <v>3</v>
      </c>
      <c r="R72" s="288">
        <v>2</v>
      </c>
      <c r="S72" s="289">
        <v>29</v>
      </c>
      <c r="T72" s="290">
        <v>24</v>
      </c>
      <c r="U72" s="288">
        <v>3</v>
      </c>
      <c r="V72" s="289">
        <v>24</v>
      </c>
      <c r="W72" s="291"/>
      <c r="X72" s="286">
        <v>39356</v>
      </c>
      <c r="Y72" s="286" t="s">
        <v>205</v>
      </c>
      <c r="Z72" s="292"/>
      <c r="AA72" s="293">
        <v>44804</v>
      </c>
      <c r="AB72" s="293" t="s">
        <v>206</v>
      </c>
      <c r="AC72" s="293">
        <v>1840000</v>
      </c>
      <c r="AD72" s="294"/>
      <c r="AE72" s="294" t="s">
        <v>283</v>
      </c>
      <c r="AF72" s="294">
        <v>30</v>
      </c>
      <c r="AG72" s="294">
        <v>30</v>
      </c>
      <c r="AH72" s="294" t="s">
        <v>277</v>
      </c>
      <c r="AI72" s="295">
        <v>40</v>
      </c>
      <c r="AJ72" s="294">
        <v>1840000</v>
      </c>
      <c r="AK72" s="295"/>
      <c r="AL72" s="295"/>
      <c r="AM72" s="295"/>
      <c r="AN72" s="295"/>
      <c r="AO72" s="295">
        <v>700000</v>
      </c>
      <c r="AP72" s="294"/>
      <c r="AQ72" s="295">
        <v>0</v>
      </c>
      <c r="AR72" s="294"/>
      <c r="AS72" s="294">
        <v>40000</v>
      </c>
      <c r="AT72" s="294"/>
      <c r="AU72" s="294">
        <v>50000</v>
      </c>
      <c r="AV72" s="294">
        <v>140000</v>
      </c>
      <c r="AW72" s="294">
        <v>0</v>
      </c>
      <c r="AX72" s="294"/>
      <c r="AY72" s="294"/>
      <c r="AZ72" s="296"/>
      <c r="BA72" s="294"/>
      <c r="BB72" s="294">
        <v>2770000</v>
      </c>
      <c r="BC72" s="294">
        <v>2348000</v>
      </c>
      <c r="BD72" s="294">
        <v>2403090</v>
      </c>
      <c r="BE72" s="304"/>
      <c r="BF72" s="299">
        <v>0</v>
      </c>
      <c r="BG72" s="299">
        <v>105660</v>
      </c>
      <c r="BH72" s="299">
        <v>82420</v>
      </c>
      <c r="BI72" s="299">
        <v>9490</v>
      </c>
      <c r="BJ72" s="299"/>
      <c r="BK72" s="299">
        <v>19050</v>
      </c>
      <c r="BL72" s="300"/>
      <c r="BM72" s="300">
        <v>900000</v>
      </c>
      <c r="BN72" s="300">
        <v>0</v>
      </c>
      <c r="BO72" s="294"/>
      <c r="BP72" s="294"/>
      <c r="BQ72" s="294">
        <v>1116620</v>
      </c>
      <c r="BR72" s="294">
        <v>1653380</v>
      </c>
      <c r="BS72" s="96">
        <v>2381250</v>
      </c>
      <c r="BT72" s="96">
        <v>2381250</v>
      </c>
      <c r="BW72" s="96">
        <v>105660</v>
      </c>
      <c r="BX72" s="96">
        <v>82420</v>
      </c>
      <c r="BY72" s="96">
        <v>9490</v>
      </c>
      <c r="CA72" s="96">
        <v>19050</v>
      </c>
      <c r="CB72" s="96">
        <v>20240</v>
      </c>
      <c r="CE72" s="96">
        <v>23810</v>
      </c>
      <c r="CF72" s="96">
        <v>260670</v>
      </c>
      <c r="CH72" s="96">
        <v>58340</v>
      </c>
      <c r="CI72" s="96">
        <v>58340</v>
      </c>
    </row>
    <row r="73" spans="1:87" s="96" customFormat="1" ht="15.95" customHeight="1">
      <c r="A73" s="468">
        <v>6</v>
      </c>
      <c r="B73" s="282"/>
      <c r="C73" s="282"/>
      <c r="D73" s="283"/>
      <c r="E73" s="284"/>
      <c r="F73" s="285" t="s">
        <v>207</v>
      </c>
      <c r="G73" s="282">
        <v>300</v>
      </c>
      <c r="H73" s="282" t="s">
        <v>276</v>
      </c>
      <c r="I73" s="286">
        <v>36564</v>
      </c>
      <c r="J73" s="286">
        <v>38047</v>
      </c>
      <c r="K73" s="287">
        <v>18</v>
      </c>
      <c r="L73" s="288">
        <v>0</v>
      </c>
      <c r="M73" s="289">
        <v>0</v>
      </c>
      <c r="N73" s="287">
        <v>21</v>
      </c>
      <c r="O73" s="288">
        <v>0</v>
      </c>
      <c r="P73" s="289">
        <v>25</v>
      </c>
      <c r="Q73" s="287">
        <v>2</v>
      </c>
      <c r="R73" s="288">
        <v>6</v>
      </c>
      <c r="S73" s="289">
        <v>13</v>
      </c>
      <c r="T73" s="290">
        <v>23</v>
      </c>
      <c r="U73" s="288">
        <v>7</v>
      </c>
      <c r="V73" s="289">
        <v>8</v>
      </c>
      <c r="W73" s="291"/>
      <c r="X73" s="286">
        <v>39356</v>
      </c>
      <c r="Y73" s="286" t="s">
        <v>205</v>
      </c>
      <c r="Z73" s="292"/>
      <c r="AA73" s="293">
        <v>44439</v>
      </c>
      <c r="AB73" s="293" t="s">
        <v>206</v>
      </c>
      <c r="AC73" s="293">
        <v>1840000</v>
      </c>
      <c r="AD73" s="294"/>
      <c r="AE73" s="294" t="s">
        <v>283</v>
      </c>
      <c r="AF73" s="294">
        <v>30</v>
      </c>
      <c r="AG73" s="294">
        <v>30</v>
      </c>
      <c r="AH73" s="294" t="s">
        <v>277</v>
      </c>
      <c r="AI73" s="295">
        <v>40</v>
      </c>
      <c r="AJ73" s="294">
        <v>1840000</v>
      </c>
      <c r="AK73" s="295"/>
      <c r="AL73" s="295"/>
      <c r="AM73" s="295"/>
      <c r="AN73" s="295"/>
      <c r="AO73" s="295">
        <v>700000</v>
      </c>
      <c r="AP73" s="294"/>
      <c r="AQ73" s="295">
        <v>0</v>
      </c>
      <c r="AR73" s="294"/>
      <c r="AS73" s="294">
        <v>40000</v>
      </c>
      <c r="AT73" s="294"/>
      <c r="AU73" s="294">
        <v>50000</v>
      </c>
      <c r="AV73" s="294">
        <v>140000</v>
      </c>
      <c r="AW73" s="294">
        <v>0</v>
      </c>
      <c r="AX73" s="294"/>
      <c r="AY73" s="294"/>
      <c r="AZ73" s="296"/>
      <c r="BA73" s="294"/>
      <c r="BB73" s="294">
        <v>2770000</v>
      </c>
      <c r="BC73" s="294">
        <v>2435000</v>
      </c>
      <c r="BD73" s="294">
        <v>2515409</v>
      </c>
      <c r="BE73" s="304"/>
      <c r="BF73" s="299">
        <v>0</v>
      </c>
      <c r="BG73" s="299">
        <v>109570</v>
      </c>
      <c r="BH73" s="299">
        <v>86270</v>
      </c>
      <c r="BI73" s="299">
        <v>9930</v>
      </c>
      <c r="BJ73" s="299"/>
      <c r="BK73" s="299">
        <v>19750</v>
      </c>
      <c r="BL73" s="300">
        <v>-2980</v>
      </c>
      <c r="BM73" s="300">
        <v>420000</v>
      </c>
      <c r="BN73" s="300"/>
      <c r="BO73" s="294"/>
      <c r="BP73" s="294"/>
      <c r="BQ73" s="294">
        <v>642540</v>
      </c>
      <c r="BR73" s="294">
        <v>2127460</v>
      </c>
      <c r="BS73" s="96">
        <v>2469240</v>
      </c>
      <c r="BT73" s="96">
        <v>2469240</v>
      </c>
      <c r="BW73" s="96">
        <v>109570</v>
      </c>
      <c r="BX73" s="96">
        <v>86270</v>
      </c>
      <c r="BY73" s="96">
        <v>9930</v>
      </c>
      <c r="CA73" s="96">
        <v>20490</v>
      </c>
      <c r="CB73" s="96">
        <v>21380</v>
      </c>
      <c r="CC73" s="96">
        <v>-2980</v>
      </c>
      <c r="CE73" s="96">
        <v>25150</v>
      </c>
      <c r="CF73" s="96">
        <v>269810</v>
      </c>
      <c r="CH73" s="96">
        <v>61620</v>
      </c>
      <c r="CI73" s="96">
        <v>61620</v>
      </c>
    </row>
    <row r="74" spans="1:87" s="96" customFormat="1" ht="15.95" customHeight="1">
      <c r="A74" s="468">
        <v>6</v>
      </c>
      <c r="B74" s="282"/>
      <c r="C74" s="282"/>
      <c r="D74" s="283"/>
      <c r="E74" s="284"/>
      <c r="F74" s="285" t="s">
        <v>207</v>
      </c>
      <c r="G74" s="282">
        <v>300</v>
      </c>
      <c r="H74" s="282" t="s">
        <v>204</v>
      </c>
      <c r="I74" s="286">
        <v>36923</v>
      </c>
      <c r="J74" s="286">
        <v>38047</v>
      </c>
      <c r="K74" s="287">
        <v>18</v>
      </c>
      <c r="L74" s="288">
        <v>0</v>
      </c>
      <c r="M74" s="289">
        <v>0</v>
      </c>
      <c r="N74" s="287">
        <v>20</v>
      </c>
      <c r="O74" s="288">
        <v>1</v>
      </c>
      <c r="P74" s="289">
        <v>1</v>
      </c>
      <c r="Q74" s="287">
        <v>6</v>
      </c>
      <c r="R74" s="288">
        <v>6</v>
      </c>
      <c r="S74" s="289">
        <v>25</v>
      </c>
      <c r="T74" s="290">
        <v>26</v>
      </c>
      <c r="U74" s="288">
        <v>7</v>
      </c>
      <c r="V74" s="289">
        <v>26</v>
      </c>
      <c r="W74" s="291"/>
      <c r="X74" s="286">
        <v>39356</v>
      </c>
      <c r="Y74" s="286" t="s">
        <v>205</v>
      </c>
      <c r="Z74" s="292"/>
      <c r="AA74" s="293">
        <v>44439</v>
      </c>
      <c r="AB74" s="293" t="s">
        <v>206</v>
      </c>
      <c r="AC74" s="293">
        <v>1840000</v>
      </c>
      <c r="AD74" s="294"/>
      <c r="AE74" s="294" t="s">
        <v>283</v>
      </c>
      <c r="AF74" s="294">
        <v>30</v>
      </c>
      <c r="AG74" s="294">
        <v>30</v>
      </c>
      <c r="AH74" s="294" t="s">
        <v>277</v>
      </c>
      <c r="AI74" s="295">
        <v>40</v>
      </c>
      <c r="AJ74" s="294">
        <v>1840000</v>
      </c>
      <c r="AK74" s="295"/>
      <c r="AL74" s="295"/>
      <c r="AM74" s="295"/>
      <c r="AN74" s="295"/>
      <c r="AO74" s="295">
        <v>700000</v>
      </c>
      <c r="AP74" s="294"/>
      <c r="AQ74" s="295">
        <v>0</v>
      </c>
      <c r="AR74" s="294"/>
      <c r="AS74" s="294">
        <v>40000</v>
      </c>
      <c r="AT74" s="294"/>
      <c r="AU74" s="294">
        <v>50000</v>
      </c>
      <c r="AV74" s="294">
        <v>140000</v>
      </c>
      <c r="AW74" s="294">
        <v>0</v>
      </c>
      <c r="AX74" s="294"/>
      <c r="AY74" s="294"/>
      <c r="AZ74" s="296"/>
      <c r="BA74" s="294"/>
      <c r="BB74" s="294">
        <v>2770000</v>
      </c>
      <c r="BC74" s="294">
        <v>2384000</v>
      </c>
      <c r="BD74" s="294">
        <v>2384000</v>
      </c>
      <c r="BE74" s="304"/>
      <c r="BF74" s="299">
        <v>0</v>
      </c>
      <c r="BG74" s="299">
        <v>107280</v>
      </c>
      <c r="BH74" s="299">
        <v>81770</v>
      </c>
      <c r="BI74" s="299">
        <v>9410</v>
      </c>
      <c r="BJ74" s="299"/>
      <c r="BK74" s="299">
        <v>19330</v>
      </c>
      <c r="BL74" s="300"/>
      <c r="BM74" s="300"/>
      <c r="BN74" s="300"/>
      <c r="BO74" s="294"/>
      <c r="BP74" s="294"/>
      <c r="BQ74" s="294">
        <v>217790</v>
      </c>
      <c r="BR74" s="294">
        <v>2552210</v>
      </c>
      <c r="BS74" s="96">
        <v>2417475</v>
      </c>
      <c r="BT74" s="96">
        <v>2417475</v>
      </c>
      <c r="BW74" s="96">
        <v>-107280</v>
      </c>
      <c r="BX74" s="96">
        <v>81770</v>
      </c>
      <c r="BY74" s="96">
        <v>9410</v>
      </c>
      <c r="BZ74" s="96">
        <v>233780</v>
      </c>
      <c r="CA74" s="96">
        <v>12890</v>
      </c>
      <c r="CB74" s="96">
        <v>17120</v>
      </c>
      <c r="CC74" s="96">
        <v>25690</v>
      </c>
      <c r="CE74" s="96">
        <v>20140</v>
      </c>
      <c r="CF74" s="96">
        <v>293520</v>
      </c>
      <c r="CH74" s="96">
        <v>49340</v>
      </c>
      <c r="CI74" s="96">
        <v>49340</v>
      </c>
    </row>
    <row r="75" spans="1:87" s="96" customFormat="1" ht="15.95" customHeight="1">
      <c r="A75" s="468">
        <v>6</v>
      </c>
      <c r="B75" s="282"/>
      <c r="C75" s="282"/>
      <c r="D75" s="283"/>
      <c r="E75" s="284"/>
      <c r="F75" s="285" t="s">
        <v>207</v>
      </c>
      <c r="G75" s="282">
        <v>365</v>
      </c>
      <c r="H75" s="282" t="s">
        <v>276</v>
      </c>
      <c r="I75" s="286">
        <v>38018</v>
      </c>
      <c r="J75" s="286">
        <v>38047</v>
      </c>
      <c r="K75" s="287">
        <v>18</v>
      </c>
      <c r="L75" s="288">
        <v>0</v>
      </c>
      <c r="M75" s="289">
        <v>0</v>
      </c>
      <c r="N75" s="287">
        <v>17</v>
      </c>
      <c r="O75" s="288">
        <v>1</v>
      </c>
      <c r="P75" s="289">
        <v>1</v>
      </c>
      <c r="Q75" s="287">
        <v>8</v>
      </c>
      <c r="R75" s="288">
        <v>6</v>
      </c>
      <c r="S75" s="289">
        <v>14</v>
      </c>
      <c r="T75" s="290">
        <v>25</v>
      </c>
      <c r="U75" s="288">
        <v>7</v>
      </c>
      <c r="V75" s="289">
        <v>15</v>
      </c>
      <c r="W75" s="291"/>
      <c r="X75" s="286">
        <v>39356</v>
      </c>
      <c r="Y75" s="286" t="s">
        <v>205</v>
      </c>
      <c r="Z75" s="292"/>
      <c r="AA75" s="293">
        <v>45900</v>
      </c>
      <c r="AB75" s="293" t="s">
        <v>206</v>
      </c>
      <c r="AC75" s="293">
        <v>1840000</v>
      </c>
      <c r="AD75" s="294"/>
      <c r="AE75" s="294" t="s">
        <v>283</v>
      </c>
      <c r="AF75" s="294">
        <v>30</v>
      </c>
      <c r="AG75" s="294">
        <v>30</v>
      </c>
      <c r="AH75" s="294" t="s">
        <v>277</v>
      </c>
      <c r="AI75" s="295">
        <v>40</v>
      </c>
      <c r="AJ75" s="294">
        <v>1840000</v>
      </c>
      <c r="AK75" s="295"/>
      <c r="AL75" s="295"/>
      <c r="AM75" s="295"/>
      <c r="AN75" s="295"/>
      <c r="AO75" s="295">
        <v>700000</v>
      </c>
      <c r="AP75" s="294"/>
      <c r="AQ75" s="295">
        <v>0</v>
      </c>
      <c r="AR75" s="294"/>
      <c r="AS75" s="294"/>
      <c r="AT75" s="294"/>
      <c r="AU75" s="294">
        <v>50000</v>
      </c>
      <c r="AV75" s="294">
        <v>140000</v>
      </c>
      <c r="AW75" s="294">
        <v>0</v>
      </c>
      <c r="AX75" s="294"/>
      <c r="AY75" s="294"/>
      <c r="AZ75" s="296"/>
      <c r="BA75" s="294"/>
      <c r="BB75" s="294">
        <v>2730000</v>
      </c>
      <c r="BC75" s="294">
        <v>2410000</v>
      </c>
      <c r="BD75" s="294">
        <v>2472056</v>
      </c>
      <c r="BE75" s="304"/>
      <c r="BF75" s="299">
        <v>0</v>
      </c>
      <c r="BG75" s="299">
        <v>108450</v>
      </c>
      <c r="BH75" s="299">
        <v>84790</v>
      </c>
      <c r="BI75" s="299">
        <v>9760</v>
      </c>
      <c r="BJ75" s="299"/>
      <c r="BK75" s="299">
        <v>20800</v>
      </c>
      <c r="BL75" s="300"/>
      <c r="BM75" s="300">
        <v>600000</v>
      </c>
      <c r="BN75" s="300"/>
      <c r="BO75" s="294"/>
      <c r="BP75" s="294"/>
      <c r="BQ75" s="294">
        <v>823800</v>
      </c>
      <c r="BR75" s="294">
        <v>1906200</v>
      </c>
      <c r="BS75" s="96">
        <v>2601100</v>
      </c>
      <c r="BT75" s="96">
        <v>2601100</v>
      </c>
      <c r="BW75" s="96">
        <v>108450</v>
      </c>
      <c r="BX75" s="96">
        <v>84790</v>
      </c>
      <c r="BY75" s="96">
        <v>9760</v>
      </c>
      <c r="CA75" s="96">
        <v>18740</v>
      </c>
      <c r="CB75" s="96">
        <v>21010</v>
      </c>
      <c r="CE75" s="96">
        <v>24720</v>
      </c>
      <c r="CF75" s="96">
        <v>267470</v>
      </c>
      <c r="CH75" s="96">
        <v>60550</v>
      </c>
      <c r="CI75" s="96">
        <v>60550</v>
      </c>
    </row>
    <row r="76" spans="1:87" s="96" customFormat="1" ht="15.95" customHeight="1">
      <c r="A76" s="468">
        <v>6</v>
      </c>
      <c r="B76" s="282"/>
      <c r="C76" s="282"/>
      <c r="D76" s="283"/>
      <c r="E76" s="284"/>
      <c r="F76" s="285" t="s">
        <v>207</v>
      </c>
      <c r="G76" s="282">
        <v>365</v>
      </c>
      <c r="H76" s="282"/>
      <c r="I76" s="286">
        <v>44257</v>
      </c>
      <c r="J76" s="286"/>
      <c r="K76" s="287"/>
      <c r="L76" s="288"/>
      <c r="M76" s="289"/>
      <c r="N76" s="287"/>
      <c r="O76" s="288"/>
      <c r="P76" s="289"/>
      <c r="Q76" s="287"/>
      <c r="R76" s="288"/>
      <c r="S76" s="289"/>
      <c r="T76" s="290"/>
      <c r="U76" s="288"/>
      <c r="V76" s="289"/>
      <c r="W76" s="291" t="s">
        <v>213</v>
      </c>
      <c r="X76" s="286"/>
      <c r="Y76" s="286" t="s">
        <v>205</v>
      </c>
      <c r="Z76" s="292"/>
      <c r="AA76" s="293"/>
      <c r="AB76" s="293" t="s">
        <v>206</v>
      </c>
      <c r="AC76" s="293">
        <v>1840000</v>
      </c>
      <c r="AD76" s="294"/>
      <c r="AE76" s="294" t="s">
        <v>283</v>
      </c>
      <c r="AF76" s="294">
        <v>0</v>
      </c>
      <c r="AG76" s="294">
        <v>30</v>
      </c>
      <c r="AH76" s="294"/>
      <c r="AI76" s="295">
        <v>40</v>
      </c>
      <c r="AJ76" s="294">
        <v>0</v>
      </c>
      <c r="AK76" s="295"/>
      <c r="AL76" s="295"/>
      <c r="AM76" s="295"/>
      <c r="AN76" s="295"/>
      <c r="AO76" s="295"/>
      <c r="AP76" s="294"/>
      <c r="AQ76" s="295"/>
      <c r="AR76" s="294"/>
      <c r="AS76" s="294"/>
      <c r="AT76" s="294"/>
      <c r="AU76" s="294"/>
      <c r="AV76" s="294"/>
      <c r="AW76" s="294"/>
      <c r="AX76" s="294"/>
      <c r="AY76" s="294"/>
      <c r="AZ76" s="296"/>
      <c r="BA76" s="294"/>
      <c r="BB76" s="294">
        <v>0</v>
      </c>
      <c r="BC76" s="294">
        <v>2030000</v>
      </c>
      <c r="BD76" s="294">
        <v>2030000</v>
      </c>
      <c r="BE76" s="304"/>
      <c r="BF76" s="299"/>
      <c r="BG76" s="299"/>
      <c r="BH76" s="299">
        <v>0</v>
      </c>
      <c r="BI76" s="299">
        <v>0</v>
      </c>
      <c r="BJ76" s="299">
        <v>-24860</v>
      </c>
      <c r="BK76" s="299"/>
      <c r="BL76" s="300">
        <v>-2880</v>
      </c>
      <c r="BM76" s="300"/>
      <c r="BN76" s="300">
        <v>-8170</v>
      </c>
      <c r="BO76" s="294"/>
      <c r="BP76" s="294"/>
      <c r="BQ76" s="294">
        <v>-35910</v>
      </c>
      <c r="BR76" s="294">
        <v>35910</v>
      </c>
      <c r="BS76" s="96">
        <v>2030000</v>
      </c>
      <c r="BT76" s="96">
        <v>2030000</v>
      </c>
      <c r="BZ76" s="96">
        <v>-24860</v>
      </c>
      <c r="CB76" s="96">
        <v>-8670</v>
      </c>
      <c r="CC76" s="96">
        <v>-2880</v>
      </c>
      <c r="CD76" s="96">
        <v>-8170</v>
      </c>
      <c r="CE76" s="96">
        <v>-10220</v>
      </c>
      <c r="CF76" s="96">
        <v>-54800</v>
      </c>
      <c r="CH76" s="96">
        <v>-8670</v>
      </c>
      <c r="CI76" s="96">
        <v>-16840</v>
      </c>
    </row>
    <row r="77" spans="1:87" s="96" customFormat="1" ht="15.95" customHeight="1">
      <c r="A77" s="468">
        <v>6</v>
      </c>
      <c r="B77" s="282"/>
      <c r="C77" s="282"/>
      <c r="D77" s="283"/>
      <c r="E77" s="284"/>
      <c r="F77" s="285" t="s">
        <v>207</v>
      </c>
      <c r="G77" s="282">
        <v>365</v>
      </c>
      <c r="H77" s="282" t="s">
        <v>204</v>
      </c>
      <c r="I77" s="286">
        <v>42795</v>
      </c>
      <c r="J77" s="286">
        <v>43891</v>
      </c>
      <c r="K77" s="287">
        <v>2</v>
      </c>
      <c r="L77" s="288">
        <v>0</v>
      </c>
      <c r="M77" s="289">
        <v>0</v>
      </c>
      <c r="N77" s="287">
        <v>1</v>
      </c>
      <c r="O77" s="288">
        <v>0</v>
      </c>
      <c r="P77" s="289">
        <v>1</v>
      </c>
      <c r="Q77" s="287"/>
      <c r="R77" s="288"/>
      <c r="S77" s="289"/>
      <c r="T77" s="290">
        <v>1</v>
      </c>
      <c r="U77" s="288">
        <v>0</v>
      </c>
      <c r="V77" s="289">
        <v>1</v>
      </c>
      <c r="W77" s="291"/>
      <c r="X77" s="286">
        <v>43160</v>
      </c>
      <c r="Y77" s="286" t="s">
        <v>205</v>
      </c>
      <c r="Z77" s="292"/>
      <c r="AA77" s="293">
        <v>48638</v>
      </c>
      <c r="AB77" s="293" t="s">
        <v>274</v>
      </c>
      <c r="AC77" s="293">
        <v>920000</v>
      </c>
      <c r="AD77" s="294"/>
      <c r="AE77" s="294"/>
      <c r="AF77" s="294">
        <v>30</v>
      </c>
      <c r="AG77" s="294">
        <v>30</v>
      </c>
      <c r="AH77" s="294"/>
      <c r="AI77" s="295">
        <v>20</v>
      </c>
      <c r="AJ77" s="294">
        <v>920000</v>
      </c>
      <c r="AK77" s="295"/>
      <c r="AL77" s="295"/>
      <c r="AM77" s="295"/>
      <c r="AN77" s="295"/>
      <c r="AO77" s="295">
        <v>17500</v>
      </c>
      <c r="AP77" s="294"/>
      <c r="AQ77" s="295">
        <v>0</v>
      </c>
      <c r="AR77" s="294"/>
      <c r="AS77" s="294"/>
      <c r="AT77" s="294"/>
      <c r="AU77" s="294"/>
      <c r="AV77" s="294">
        <v>140000</v>
      </c>
      <c r="AW77" s="294">
        <v>0</v>
      </c>
      <c r="AX77" s="294"/>
      <c r="AY77" s="294"/>
      <c r="AZ77" s="296"/>
      <c r="BA77" s="294"/>
      <c r="BB77" s="294">
        <v>1077500</v>
      </c>
      <c r="BC77" s="294">
        <v>976000</v>
      </c>
      <c r="BD77" s="294">
        <v>706055</v>
      </c>
      <c r="BE77" s="304"/>
      <c r="BF77" s="299">
        <v>0</v>
      </c>
      <c r="BG77" s="299">
        <v>43920</v>
      </c>
      <c r="BH77" s="299">
        <v>24210</v>
      </c>
      <c r="BI77" s="299">
        <v>2780</v>
      </c>
      <c r="BJ77" s="299"/>
      <c r="BK77" s="299">
        <v>6880</v>
      </c>
      <c r="BL77" s="300"/>
      <c r="BM77" s="300"/>
      <c r="BN77" s="300"/>
      <c r="BO77" s="294"/>
      <c r="BP77" s="294"/>
      <c r="BQ77" s="294">
        <v>77790</v>
      </c>
      <c r="BR77" s="294">
        <v>999710</v>
      </c>
      <c r="BS77" s="96">
        <v>860666</v>
      </c>
      <c r="BT77" s="96">
        <v>860666</v>
      </c>
      <c r="BW77" s="96">
        <v>43920</v>
      </c>
      <c r="BX77" s="96">
        <v>24210</v>
      </c>
      <c r="BY77" s="96">
        <v>2780</v>
      </c>
      <c r="CA77" s="96">
        <v>4400</v>
      </c>
      <c r="CB77" s="96">
        <v>6000</v>
      </c>
      <c r="CE77" s="96">
        <v>7060</v>
      </c>
      <c r="CF77" s="96">
        <v>88370</v>
      </c>
      <c r="CH77" s="96">
        <v>17280</v>
      </c>
      <c r="CI77" s="96">
        <v>17280</v>
      </c>
    </row>
    <row r="78" spans="1:87" s="96" customFormat="1" ht="15.95" customHeight="1">
      <c r="A78" s="468">
        <v>6</v>
      </c>
      <c r="B78" s="282"/>
      <c r="C78" s="282"/>
      <c r="D78" s="283"/>
      <c r="E78" s="284"/>
      <c r="F78" s="285" t="s">
        <v>207</v>
      </c>
      <c r="G78" s="282">
        <v>365</v>
      </c>
      <c r="H78" s="282" t="s">
        <v>204</v>
      </c>
      <c r="I78" s="286">
        <v>42795</v>
      </c>
      <c r="J78" s="286">
        <v>43891</v>
      </c>
      <c r="K78" s="287">
        <v>2</v>
      </c>
      <c r="L78" s="288">
        <v>0</v>
      </c>
      <c r="M78" s="289">
        <v>0</v>
      </c>
      <c r="N78" s="287">
        <v>1</v>
      </c>
      <c r="O78" s="288">
        <v>0</v>
      </c>
      <c r="P78" s="289">
        <v>1</v>
      </c>
      <c r="Q78" s="287"/>
      <c r="R78" s="288"/>
      <c r="S78" s="289"/>
      <c r="T78" s="290">
        <v>1</v>
      </c>
      <c r="U78" s="288">
        <v>0</v>
      </c>
      <c r="V78" s="289">
        <v>1</v>
      </c>
      <c r="W78" s="291"/>
      <c r="X78" s="286">
        <v>43160</v>
      </c>
      <c r="Y78" s="286" t="s">
        <v>205</v>
      </c>
      <c r="Z78" s="292"/>
      <c r="AA78" s="293">
        <v>48091</v>
      </c>
      <c r="AB78" s="293" t="s">
        <v>274</v>
      </c>
      <c r="AC78" s="293">
        <v>920000</v>
      </c>
      <c r="AD78" s="294"/>
      <c r="AE78" s="294"/>
      <c r="AF78" s="294">
        <v>30</v>
      </c>
      <c r="AG78" s="294">
        <v>30</v>
      </c>
      <c r="AH78" s="294"/>
      <c r="AI78" s="295">
        <v>20</v>
      </c>
      <c r="AJ78" s="294">
        <v>920000</v>
      </c>
      <c r="AK78" s="295"/>
      <c r="AL78" s="295"/>
      <c r="AM78" s="295"/>
      <c r="AN78" s="295"/>
      <c r="AO78" s="295">
        <v>17500</v>
      </c>
      <c r="AP78" s="294"/>
      <c r="AQ78" s="295">
        <v>0</v>
      </c>
      <c r="AR78" s="294"/>
      <c r="AS78" s="294">
        <v>20000</v>
      </c>
      <c r="AT78" s="294"/>
      <c r="AU78" s="294"/>
      <c r="AV78" s="294">
        <v>140000</v>
      </c>
      <c r="AW78" s="294">
        <v>0</v>
      </c>
      <c r="AX78" s="294"/>
      <c r="AY78" s="294"/>
      <c r="AZ78" s="296"/>
      <c r="BA78" s="294"/>
      <c r="BB78" s="294">
        <v>1097500</v>
      </c>
      <c r="BC78" s="294">
        <v>976000</v>
      </c>
      <c r="BD78" s="294">
        <v>732315</v>
      </c>
      <c r="BE78" s="304"/>
      <c r="BF78" s="299">
        <v>0</v>
      </c>
      <c r="BG78" s="299">
        <v>43920</v>
      </c>
      <c r="BH78" s="299">
        <v>25110</v>
      </c>
      <c r="BI78" s="299">
        <v>2890</v>
      </c>
      <c r="BJ78" s="299"/>
      <c r="BK78" s="299">
        <v>-910</v>
      </c>
      <c r="BL78" s="300"/>
      <c r="BM78" s="300"/>
      <c r="BN78" s="300">
        <v>-155140</v>
      </c>
      <c r="BO78" s="294"/>
      <c r="BP78" s="294"/>
      <c r="BQ78" s="294">
        <v>-84130</v>
      </c>
      <c r="BR78" s="294">
        <v>1181630</v>
      </c>
      <c r="BS78" s="96">
        <v>873416</v>
      </c>
      <c r="BT78" s="96">
        <v>873416</v>
      </c>
      <c r="BW78" s="96">
        <v>43920</v>
      </c>
      <c r="BX78" s="96">
        <v>25110</v>
      </c>
      <c r="BY78" s="96">
        <v>2890</v>
      </c>
      <c r="CA78" s="96">
        <v>12610</v>
      </c>
      <c r="CB78" s="96">
        <v>6220</v>
      </c>
      <c r="CD78" s="96">
        <v>155140</v>
      </c>
      <c r="CE78" s="96">
        <v>7320</v>
      </c>
      <c r="CF78" s="96">
        <v>253210</v>
      </c>
      <c r="CH78" s="96">
        <v>17920</v>
      </c>
      <c r="CI78" s="96">
        <v>173060</v>
      </c>
    </row>
    <row r="79" spans="1:87" s="96" customFormat="1" ht="15.95" customHeight="1">
      <c r="A79" s="468">
        <v>6</v>
      </c>
      <c r="B79" s="282"/>
      <c r="C79" s="282"/>
      <c r="D79" s="283"/>
      <c r="E79" s="284"/>
      <c r="F79" s="285" t="s">
        <v>272</v>
      </c>
      <c r="G79" s="282">
        <v>300</v>
      </c>
      <c r="H79" s="282"/>
      <c r="I79" s="286">
        <v>43891</v>
      </c>
      <c r="J79" s="286"/>
      <c r="K79" s="287" t="s">
        <v>278</v>
      </c>
      <c r="L79" s="288" t="s">
        <v>278</v>
      </c>
      <c r="M79" s="289" t="s">
        <v>278</v>
      </c>
      <c r="N79" s="287" t="s">
        <v>278</v>
      </c>
      <c r="O79" s="288" t="s">
        <v>278</v>
      </c>
      <c r="P79" s="289" t="s">
        <v>278</v>
      </c>
      <c r="Q79" s="287"/>
      <c r="R79" s="288"/>
      <c r="S79" s="289"/>
      <c r="T79" s="290">
        <v>0</v>
      </c>
      <c r="U79" s="288">
        <v>0</v>
      </c>
      <c r="V79" s="289">
        <v>0</v>
      </c>
      <c r="W79" s="291" t="s">
        <v>213</v>
      </c>
      <c r="X79" s="286"/>
      <c r="Y79" s="286" t="s">
        <v>205</v>
      </c>
      <c r="Z79" s="292"/>
      <c r="AA79" s="293" t="s">
        <v>279</v>
      </c>
      <c r="AB79" s="293" t="s">
        <v>274</v>
      </c>
      <c r="AC79" s="293">
        <v>1097100</v>
      </c>
      <c r="AD79" s="294"/>
      <c r="AE79" s="294"/>
      <c r="AF79" s="294">
        <v>30</v>
      </c>
      <c r="AG79" s="294">
        <v>30</v>
      </c>
      <c r="AH79" s="294"/>
      <c r="AI79" s="295">
        <v>20</v>
      </c>
      <c r="AJ79" s="294">
        <v>1069500</v>
      </c>
      <c r="AK79" s="295"/>
      <c r="AL79" s="295"/>
      <c r="AM79" s="295">
        <v>125000</v>
      </c>
      <c r="AN79" s="295">
        <v>35000</v>
      </c>
      <c r="AO79" s="295">
        <v>0</v>
      </c>
      <c r="AP79" s="294"/>
      <c r="AQ79" s="295">
        <v>0</v>
      </c>
      <c r="AR79" s="294"/>
      <c r="AS79" s="294">
        <v>70000</v>
      </c>
      <c r="AT79" s="294"/>
      <c r="AU79" s="294"/>
      <c r="AV79" s="294">
        <v>70000</v>
      </c>
      <c r="AW79" s="294"/>
      <c r="AX79" s="294"/>
      <c r="AY79" s="294"/>
      <c r="AZ79" s="296"/>
      <c r="BA79" s="294"/>
      <c r="BB79" s="294">
        <v>1369500</v>
      </c>
      <c r="BC79" s="294">
        <v>1474000</v>
      </c>
      <c r="BD79" s="294">
        <v>1226479</v>
      </c>
      <c r="BE79" s="304"/>
      <c r="BF79" s="299">
        <v>0</v>
      </c>
      <c r="BG79" s="299">
        <v>66330</v>
      </c>
      <c r="BH79" s="299">
        <v>42060</v>
      </c>
      <c r="BI79" s="299">
        <v>4840</v>
      </c>
      <c r="BJ79" s="299"/>
      <c r="BK79" s="299">
        <v>11770</v>
      </c>
      <c r="BL79" s="300"/>
      <c r="BM79" s="300"/>
      <c r="BN79" s="300"/>
      <c r="BO79" s="294"/>
      <c r="BP79" s="294"/>
      <c r="BQ79" s="294">
        <v>125000</v>
      </c>
      <c r="BR79" s="294">
        <v>1244500</v>
      </c>
      <c r="BS79" s="96">
        <v>1471775</v>
      </c>
      <c r="BT79" s="96">
        <v>1471775</v>
      </c>
      <c r="BW79" s="96">
        <v>66330</v>
      </c>
      <c r="BX79" s="96">
        <v>42060</v>
      </c>
      <c r="BY79" s="96">
        <v>4840</v>
      </c>
      <c r="CA79" s="96">
        <v>11770</v>
      </c>
      <c r="CB79" s="96">
        <v>12510</v>
      </c>
      <c r="CE79" s="96">
        <v>14710</v>
      </c>
      <c r="CF79" s="96">
        <v>152220</v>
      </c>
      <c r="CH79" s="96">
        <v>36050</v>
      </c>
      <c r="CI79" s="96">
        <v>36050</v>
      </c>
    </row>
    <row r="80" spans="1:87" s="96" customFormat="1" ht="15.95" customHeight="1">
      <c r="A80" s="468">
        <v>6</v>
      </c>
      <c r="B80" s="282"/>
      <c r="C80" s="282"/>
      <c r="D80" s="283"/>
      <c r="E80" s="284"/>
      <c r="F80" s="285" t="s">
        <v>203</v>
      </c>
      <c r="G80" s="282">
        <v>365</v>
      </c>
      <c r="H80" s="282"/>
      <c r="I80" s="286">
        <v>44256</v>
      </c>
      <c r="J80" s="286"/>
      <c r="K80" s="287" t="s">
        <v>278</v>
      </c>
      <c r="L80" s="288" t="s">
        <v>278</v>
      </c>
      <c r="M80" s="289" t="s">
        <v>278</v>
      </c>
      <c r="N80" s="287" t="s">
        <v>278</v>
      </c>
      <c r="O80" s="288" t="s">
        <v>278</v>
      </c>
      <c r="P80" s="289" t="s">
        <v>278</v>
      </c>
      <c r="Q80" s="287"/>
      <c r="R80" s="288"/>
      <c r="S80" s="289"/>
      <c r="T80" s="290">
        <v>0</v>
      </c>
      <c r="U80" s="288">
        <v>0</v>
      </c>
      <c r="V80" s="289">
        <v>0</v>
      </c>
      <c r="W80" s="291" t="s">
        <v>213</v>
      </c>
      <c r="X80" s="286"/>
      <c r="Y80" s="286" t="s">
        <v>205</v>
      </c>
      <c r="Z80" s="292"/>
      <c r="AA80" s="293"/>
      <c r="AB80" s="293" t="s">
        <v>280</v>
      </c>
      <c r="AC80" s="293">
        <v>2200000</v>
      </c>
      <c r="AD80" s="294"/>
      <c r="AE80" s="294"/>
      <c r="AF80" s="294">
        <v>30</v>
      </c>
      <c r="AG80" s="294">
        <v>30</v>
      </c>
      <c r="AH80" s="294"/>
      <c r="AI80" s="295">
        <v>40</v>
      </c>
      <c r="AJ80" s="294">
        <v>2200000</v>
      </c>
      <c r="AK80" s="295">
        <v>100000</v>
      </c>
      <c r="AL80" s="295"/>
      <c r="AM80" s="295"/>
      <c r="AN80" s="295"/>
      <c r="AO80" s="295">
        <v>0</v>
      </c>
      <c r="AP80" s="294">
        <v>0</v>
      </c>
      <c r="AQ80" s="295"/>
      <c r="AR80" s="294"/>
      <c r="AS80" s="294"/>
      <c r="AT80" s="294"/>
      <c r="AU80" s="294"/>
      <c r="AV80" s="294"/>
      <c r="AW80" s="294"/>
      <c r="AX80" s="294">
        <v>0</v>
      </c>
      <c r="AY80" s="294"/>
      <c r="AZ80" s="296"/>
      <c r="BA80" s="294"/>
      <c r="BB80" s="294">
        <v>2300000</v>
      </c>
      <c r="BC80" s="294">
        <v>2300000</v>
      </c>
      <c r="BD80" s="294">
        <v>2541660</v>
      </c>
      <c r="BE80" s="304"/>
      <c r="BF80" s="299"/>
      <c r="BG80" s="299">
        <v>114340</v>
      </c>
      <c r="BH80" s="299">
        <v>87170</v>
      </c>
      <c r="BI80" s="299">
        <v>10040</v>
      </c>
      <c r="BJ80" s="299"/>
      <c r="BK80" s="299"/>
      <c r="BL80" s="300"/>
      <c r="BM80" s="300"/>
      <c r="BN80" s="300"/>
      <c r="BO80" s="294"/>
      <c r="BP80" s="294"/>
      <c r="BQ80" s="294">
        <v>211550</v>
      </c>
      <c r="BR80" s="294">
        <v>2088450</v>
      </c>
      <c r="BS80" s="96">
        <v>2300000</v>
      </c>
      <c r="BT80" s="96">
        <v>2300000</v>
      </c>
      <c r="BW80" s="96">
        <v>114340</v>
      </c>
      <c r="BX80" s="96">
        <v>87170</v>
      </c>
      <c r="BY80" s="96">
        <v>10040</v>
      </c>
      <c r="BZ80" s="96">
        <v>0</v>
      </c>
      <c r="CA80" s="96">
        <v>0</v>
      </c>
      <c r="CC80" s="96">
        <v>0</v>
      </c>
      <c r="CE80" s="96">
        <v>25410</v>
      </c>
      <c r="CF80" s="96">
        <v>236960</v>
      </c>
      <c r="CH80" s="96">
        <v>0</v>
      </c>
      <c r="CI80" s="96">
        <v>0</v>
      </c>
    </row>
    <row r="81" spans="1:87" s="96" customFormat="1" ht="15.95" customHeight="1">
      <c r="A81" s="468">
        <v>6</v>
      </c>
      <c r="B81" s="282"/>
      <c r="C81" s="282"/>
      <c r="D81" s="283"/>
      <c r="E81" s="284"/>
      <c r="F81" s="285" t="s">
        <v>272</v>
      </c>
      <c r="G81" s="282">
        <v>365</v>
      </c>
      <c r="H81" s="282"/>
      <c r="I81" s="286"/>
      <c r="J81" s="286"/>
      <c r="K81" s="287"/>
      <c r="L81" s="288"/>
      <c r="M81" s="289"/>
      <c r="N81" s="287"/>
      <c r="O81" s="288"/>
      <c r="P81" s="289"/>
      <c r="Q81" s="287"/>
      <c r="R81" s="288"/>
      <c r="S81" s="289"/>
      <c r="T81" s="290"/>
      <c r="U81" s="288"/>
      <c r="V81" s="289"/>
      <c r="W81" s="291" t="s">
        <v>213</v>
      </c>
      <c r="X81" s="286"/>
      <c r="Y81" s="286" t="s">
        <v>205</v>
      </c>
      <c r="Z81" s="292"/>
      <c r="AA81" s="293" t="s">
        <v>279</v>
      </c>
      <c r="AB81" s="293" t="s">
        <v>281</v>
      </c>
      <c r="AC81" s="293">
        <v>600000</v>
      </c>
      <c r="AD81" s="294"/>
      <c r="AE81" s="294"/>
      <c r="AF81" s="294">
        <v>30</v>
      </c>
      <c r="AG81" s="294">
        <v>30</v>
      </c>
      <c r="AH81" s="294"/>
      <c r="AI81" s="295">
        <v>14</v>
      </c>
      <c r="AJ81" s="294">
        <v>600000</v>
      </c>
      <c r="AK81" s="295"/>
      <c r="AL81" s="295"/>
      <c r="AM81" s="295"/>
      <c r="AN81" s="295"/>
      <c r="AO81" s="295"/>
      <c r="AP81" s="294"/>
      <c r="AQ81" s="295"/>
      <c r="AR81" s="294"/>
      <c r="AS81" s="294"/>
      <c r="AT81" s="294"/>
      <c r="AU81" s="294"/>
      <c r="AV81" s="294"/>
      <c r="AW81" s="294"/>
      <c r="AX81" s="294"/>
      <c r="AY81" s="294"/>
      <c r="AZ81" s="296"/>
      <c r="BA81" s="296"/>
      <c r="BB81" s="294">
        <v>600000</v>
      </c>
      <c r="BC81" s="294"/>
      <c r="BD81" s="294"/>
      <c r="BE81" s="304"/>
      <c r="BF81" s="299">
        <v>0</v>
      </c>
      <c r="BG81" s="299"/>
      <c r="BH81" s="299"/>
      <c r="BI81" s="299"/>
      <c r="BJ81" s="299"/>
      <c r="BK81" s="299"/>
      <c r="BL81" s="300"/>
      <c r="BM81" s="300"/>
      <c r="BN81" s="300"/>
      <c r="BO81" s="294"/>
      <c r="BP81" s="294"/>
      <c r="BQ81" s="294">
        <v>0</v>
      </c>
      <c r="BR81" s="294">
        <v>600000</v>
      </c>
      <c r="BS81" s="96">
        <v>562916</v>
      </c>
      <c r="BT81" s="96">
        <v>562916</v>
      </c>
      <c r="BZ81" s="96">
        <v>0</v>
      </c>
      <c r="CB81" s="96">
        <v>4760</v>
      </c>
      <c r="CC81" s="96">
        <v>0</v>
      </c>
      <c r="CE81" s="96">
        <v>5600</v>
      </c>
      <c r="CF81" s="96">
        <v>10360</v>
      </c>
      <c r="CH81" s="96">
        <v>4760</v>
      </c>
      <c r="CI81" s="96">
        <v>4760</v>
      </c>
    </row>
    <row r="82" spans="1:87" s="96" customFormat="1" ht="15.95" customHeight="1">
      <c r="A82" s="468">
        <v>6</v>
      </c>
      <c r="B82" s="282"/>
      <c r="C82" s="282"/>
      <c r="D82" s="283"/>
      <c r="E82" s="284"/>
      <c r="F82" s="285" t="s">
        <v>271</v>
      </c>
      <c r="G82" s="282"/>
      <c r="H82" s="282"/>
      <c r="I82" s="286">
        <v>44307</v>
      </c>
      <c r="J82" s="286"/>
      <c r="K82" s="287"/>
      <c r="L82" s="288"/>
      <c r="M82" s="289"/>
      <c r="N82" s="287"/>
      <c r="O82" s="288"/>
      <c r="P82" s="289"/>
      <c r="Q82" s="287"/>
      <c r="R82" s="288"/>
      <c r="S82" s="289"/>
      <c r="T82" s="290"/>
      <c r="U82" s="288"/>
      <c r="V82" s="289"/>
      <c r="W82" s="291" t="s">
        <v>213</v>
      </c>
      <c r="X82" s="286"/>
      <c r="Y82" s="286" t="s">
        <v>205</v>
      </c>
      <c r="Z82" s="292"/>
      <c r="AA82" s="293"/>
      <c r="AB82" s="293" t="s">
        <v>282</v>
      </c>
      <c r="AC82" s="293">
        <v>1225000</v>
      </c>
      <c r="AD82" s="294"/>
      <c r="AE82" s="294"/>
      <c r="AF82" s="294"/>
      <c r="AG82" s="294"/>
      <c r="AH82" s="294"/>
      <c r="AI82" s="295">
        <v>13.5</v>
      </c>
      <c r="AJ82" s="294">
        <v>1225000</v>
      </c>
      <c r="AK82" s="295"/>
      <c r="AL82" s="295"/>
      <c r="AM82" s="295"/>
      <c r="AN82" s="295"/>
      <c r="AO82" s="295"/>
      <c r="AP82" s="294"/>
      <c r="AQ82" s="295"/>
      <c r="AR82" s="294"/>
      <c r="AS82" s="294"/>
      <c r="AT82" s="294"/>
      <c r="AU82" s="294"/>
      <c r="AV82" s="294"/>
      <c r="AW82" s="294"/>
      <c r="AX82" s="294"/>
      <c r="AY82" s="294"/>
      <c r="AZ82" s="296"/>
      <c r="BA82" s="296"/>
      <c r="BB82" s="294">
        <v>1225000</v>
      </c>
      <c r="BC82" s="294"/>
      <c r="BD82" s="294"/>
      <c r="BE82" s="304"/>
      <c r="BF82" s="299"/>
      <c r="BG82" s="299"/>
      <c r="BH82" s="299"/>
      <c r="BI82" s="299"/>
      <c r="BJ82" s="299"/>
      <c r="BK82" s="299">
        <v>10800</v>
      </c>
      <c r="BL82" s="300"/>
      <c r="BM82" s="300"/>
      <c r="BN82" s="300"/>
      <c r="BO82" s="294"/>
      <c r="BP82" s="294"/>
      <c r="BQ82" s="294">
        <v>10800</v>
      </c>
      <c r="BR82" s="294">
        <v>1214200</v>
      </c>
      <c r="CA82" s="96">
        <v>10800</v>
      </c>
      <c r="CB82" s="96">
        <v>11470</v>
      </c>
      <c r="CE82" s="96">
        <v>13500</v>
      </c>
      <c r="CH82" s="96">
        <v>33070</v>
      </c>
      <c r="CI82" s="96">
        <v>33070</v>
      </c>
    </row>
    <row r="83" spans="1:87" s="96" customFormat="1" ht="15.95" customHeight="1">
      <c r="A83" s="266">
        <v>7</v>
      </c>
      <c r="B83" s="69"/>
      <c r="C83" s="69"/>
      <c r="D83" s="274"/>
      <c r="E83" s="275"/>
      <c r="F83" s="72" t="s">
        <v>272</v>
      </c>
      <c r="G83" s="69">
        <v>365</v>
      </c>
      <c r="H83" s="69" t="s">
        <v>204</v>
      </c>
      <c r="I83" s="74">
        <v>43374</v>
      </c>
      <c r="J83" s="74">
        <v>43374</v>
      </c>
      <c r="K83" s="81">
        <v>3</v>
      </c>
      <c r="L83" s="82">
        <v>5</v>
      </c>
      <c r="M83" s="83">
        <v>0</v>
      </c>
      <c r="N83" s="81">
        <v>2</v>
      </c>
      <c r="O83" s="82">
        <v>5</v>
      </c>
      <c r="P83" s="83">
        <v>1</v>
      </c>
      <c r="Q83" s="81"/>
      <c r="R83" s="82"/>
      <c r="S83" s="83"/>
      <c r="T83" s="84">
        <v>2</v>
      </c>
      <c r="U83" s="82">
        <v>5</v>
      </c>
      <c r="V83" s="83">
        <v>1</v>
      </c>
      <c r="W83" s="106"/>
      <c r="X83" s="74">
        <v>43374</v>
      </c>
      <c r="Y83" s="74" t="s">
        <v>205</v>
      </c>
      <c r="Z83" s="87"/>
      <c r="AA83" s="73">
        <v>44439</v>
      </c>
      <c r="AB83" s="73" t="s">
        <v>273</v>
      </c>
      <c r="AC83" s="73">
        <v>1840000</v>
      </c>
      <c r="AD83" s="91"/>
      <c r="AE83" s="91"/>
      <c r="AF83" s="91">
        <v>31</v>
      </c>
      <c r="AG83" s="91">
        <v>31</v>
      </c>
      <c r="AH83" s="91"/>
      <c r="AI83" s="276">
        <v>27.5</v>
      </c>
      <c r="AJ83" s="91">
        <v>1265000</v>
      </c>
      <c r="AK83" s="276"/>
      <c r="AL83" s="276"/>
      <c r="AM83" s="276"/>
      <c r="AN83" s="276"/>
      <c r="AO83" s="276"/>
      <c r="AP83" s="91"/>
      <c r="AQ83" s="276">
        <v>0</v>
      </c>
      <c r="AR83" s="91"/>
      <c r="AS83" s="91"/>
      <c r="AT83" s="91">
        <v>0</v>
      </c>
      <c r="AU83" s="91"/>
      <c r="AV83" s="91">
        <v>140000</v>
      </c>
      <c r="AW83" s="91"/>
      <c r="AX83" s="91"/>
      <c r="AY83" s="91"/>
      <c r="AZ83" s="277"/>
      <c r="BA83" s="277"/>
      <c r="BB83" s="91">
        <v>1405000</v>
      </c>
      <c r="BC83" s="91"/>
      <c r="BD83" s="91">
        <v>1381675</v>
      </c>
      <c r="BE83" s="301"/>
      <c r="BF83" s="278">
        <v>0</v>
      </c>
      <c r="BG83" s="278">
        <v>0</v>
      </c>
      <c r="BH83" s="278">
        <v>47390</v>
      </c>
      <c r="BI83" s="278">
        <v>5450</v>
      </c>
      <c r="BJ83" s="278"/>
      <c r="BK83" s="278">
        <v>12090</v>
      </c>
      <c r="BL83" s="302"/>
      <c r="BM83" s="73"/>
      <c r="BN83" s="302"/>
      <c r="BO83" s="91"/>
      <c r="BP83" s="91"/>
      <c r="BQ83" s="91">
        <v>64930</v>
      </c>
      <c r="BR83" s="91">
        <v>1340070</v>
      </c>
      <c r="BS83" s="96">
        <v>1251341</v>
      </c>
      <c r="BT83" s="96">
        <v>1251341</v>
      </c>
      <c r="BW83" s="96">
        <v>0</v>
      </c>
      <c r="BX83" s="96">
        <v>47390</v>
      </c>
      <c r="BY83" s="96">
        <v>5450</v>
      </c>
      <c r="CA83" s="96">
        <v>10010</v>
      </c>
      <c r="CB83" s="96">
        <v>11740</v>
      </c>
      <c r="CE83" s="96">
        <v>13810</v>
      </c>
      <c r="CF83" s="96">
        <v>88400</v>
      </c>
      <c r="CH83" s="96">
        <v>33840</v>
      </c>
      <c r="CI83" s="96">
        <v>33840</v>
      </c>
    </row>
    <row r="84" spans="1:87" s="96" customFormat="1" ht="15.95" customHeight="1">
      <c r="A84" s="266">
        <v>7</v>
      </c>
      <c r="B84" s="69"/>
      <c r="C84" s="69"/>
      <c r="D84" s="274"/>
      <c r="E84" s="275"/>
      <c r="F84" s="72" t="s">
        <v>272</v>
      </c>
      <c r="G84" s="69">
        <v>365</v>
      </c>
      <c r="H84" s="69" t="s">
        <v>204</v>
      </c>
      <c r="I84" s="74">
        <v>41701</v>
      </c>
      <c r="J84" s="74">
        <v>43160</v>
      </c>
      <c r="K84" s="81">
        <v>4</v>
      </c>
      <c r="L84" s="82">
        <v>0</v>
      </c>
      <c r="M84" s="83">
        <v>0</v>
      </c>
      <c r="N84" s="81">
        <v>3</v>
      </c>
      <c r="O84" s="82">
        <v>0</v>
      </c>
      <c r="P84" s="83">
        <v>1</v>
      </c>
      <c r="Q84" s="81"/>
      <c r="R84" s="82"/>
      <c r="S84" s="83"/>
      <c r="T84" s="84">
        <v>3</v>
      </c>
      <c r="U84" s="82">
        <v>0</v>
      </c>
      <c r="V84" s="83">
        <v>1</v>
      </c>
      <c r="W84" s="106"/>
      <c r="X84" s="74">
        <v>43160</v>
      </c>
      <c r="Y84" s="74" t="s">
        <v>205</v>
      </c>
      <c r="Z84" s="87"/>
      <c r="AA84" s="73">
        <v>49368</v>
      </c>
      <c r="AB84" s="73" t="s">
        <v>274</v>
      </c>
      <c r="AC84" s="73">
        <v>1840000</v>
      </c>
      <c r="AD84" s="91"/>
      <c r="AE84" s="91"/>
      <c r="AF84" s="91">
        <v>31</v>
      </c>
      <c r="AG84" s="91">
        <v>31</v>
      </c>
      <c r="AH84" s="91"/>
      <c r="AI84" s="276">
        <v>20</v>
      </c>
      <c r="AJ84" s="91">
        <v>920000</v>
      </c>
      <c r="AK84" s="276"/>
      <c r="AL84" s="276"/>
      <c r="AM84" s="276"/>
      <c r="AN84" s="276"/>
      <c r="AO84" s="91">
        <v>52500</v>
      </c>
      <c r="AP84" s="91"/>
      <c r="AQ84" s="276">
        <v>0</v>
      </c>
      <c r="AR84" s="91"/>
      <c r="AS84" s="91">
        <v>30000</v>
      </c>
      <c r="AT84" s="91"/>
      <c r="AU84" s="91"/>
      <c r="AV84" s="91">
        <v>140000</v>
      </c>
      <c r="AW84" s="91">
        <v>0</v>
      </c>
      <c r="AX84" s="91"/>
      <c r="AY84" s="91"/>
      <c r="AZ84" s="277"/>
      <c r="BA84" s="277"/>
      <c r="BB84" s="91">
        <v>1142500</v>
      </c>
      <c r="BC84" s="91">
        <v>1101000</v>
      </c>
      <c r="BD84" s="91">
        <v>1119840</v>
      </c>
      <c r="BE84" s="301"/>
      <c r="BF84" s="278">
        <v>0</v>
      </c>
      <c r="BG84" s="278">
        <v>49540</v>
      </c>
      <c r="BH84" s="278">
        <v>38410</v>
      </c>
      <c r="BI84" s="278">
        <v>4420</v>
      </c>
      <c r="BJ84" s="278"/>
      <c r="BK84" s="278">
        <v>9810</v>
      </c>
      <c r="BL84" s="302"/>
      <c r="BM84" s="73">
        <v>0</v>
      </c>
      <c r="BN84" s="302"/>
      <c r="BO84" s="91"/>
      <c r="BP84" s="91"/>
      <c r="BQ84" s="91">
        <v>102180</v>
      </c>
      <c r="BR84" s="91">
        <v>1040320</v>
      </c>
      <c r="BS84" s="96">
        <v>1012061</v>
      </c>
      <c r="BT84" s="96">
        <v>1012061</v>
      </c>
      <c r="BW84" s="96">
        <v>49340</v>
      </c>
      <c r="BX84" s="96">
        <v>38410</v>
      </c>
      <c r="BY84" s="96">
        <v>4420</v>
      </c>
      <c r="CA84" s="96">
        <v>8090</v>
      </c>
      <c r="CB84" s="96">
        <v>9510</v>
      </c>
      <c r="CE84" s="96">
        <v>11190</v>
      </c>
      <c r="CF84" s="96">
        <v>120960</v>
      </c>
      <c r="CH84" s="96">
        <v>27410</v>
      </c>
      <c r="CI84" s="96">
        <v>27410</v>
      </c>
    </row>
    <row r="85" spans="1:87" s="96" customFormat="1" ht="15.95" customHeight="1">
      <c r="A85" s="266">
        <v>7</v>
      </c>
      <c r="B85" s="69"/>
      <c r="C85" s="69"/>
      <c r="D85" s="274"/>
      <c r="E85" s="275"/>
      <c r="F85" s="72" t="s">
        <v>272</v>
      </c>
      <c r="G85" s="69">
        <v>365</v>
      </c>
      <c r="H85" s="69" t="s">
        <v>204</v>
      </c>
      <c r="I85" s="74">
        <v>40970</v>
      </c>
      <c r="J85" s="74">
        <v>40970</v>
      </c>
      <c r="K85" s="81">
        <v>9</v>
      </c>
      <c r="L85" s="82">
        <v>11</v>
      </c>
      <c r="M85" s="83">
        <v>27</v>
      </c>
      <c r="N85" s="81">
        <v>9</v>
      </c>
      <c r="O85" s="82">
        <v>0</v>
      </c>
      <c r="P85" s="83">
        <v>0</v>
      </c>
      <c r="Q85" s="81">
        <v>3</v>
      </c>
      <c r="R85" s="82">
        <v>4</v>
      </c>
      <c r="S85" s="83">
        <v>1</v>
      </c>
      <c r="T85" s="84">
        <v>12</v>
      </c>
      <c r="U85" s="82">
        <v>4</v>
      </c>
      <c r="V85" s="83">
        <v>1</v>
      </c>
      <c r="W85" s="106"/>
      <c r="X85" s="74">
        <v>41335</v>
      </c>
      <c r="Y85" s="74" t="s">
        <v>205</v>
      </c>
      <c r="Z85" s="87"/>
      <c r="AA85" s="73">
        <v>52109</v>
      </c>
      <c r="AB85" s="73" t="s">
        <v>275</v>
      </c>
      <c r="AC85" s="73">
        <v>1840000</v>
      </c>
      <c r="AD85" s="91"/>
      <c r="AE85" s="91"/>
      <c r="AF85" s="91">
        <v>31</v>
      </c>
      <c r="AG85" s="91">
        <v>31</v>
      </c>
      <c r="AH85" s="91"/>
      <c r="AI85" s="276">
        <v>25</v>
      </c>
      <c r="AJ85" s="91">
        <v>1150000</v>
      </c>
      <c r="AK85" s="276"/>
      <c r="AL85" s="276"/>
      <c r="AM85" s="276"/>
      <c r="AN85" s="276"/>
      <c r="AO85" s="91">
        <v>262500</v>
      </c>
      <c r="AP85" s="91"/>
      <c r="AQ85" s="276">
        <v>0</v>
      </c>
      <c r="AR85" s="91"/>
      <c r="AS85" s="91">
        <v>37500</v>
      </c>
      <c r="AT85" s="91"/>
      <c r="AU85" s="91">
        <v>0</v>
      </c>
      <c r="AV85" s="91">
        <v>140000</v>
      </c>
      <c r="AW85" s="91">
        <v>0</v>
      </c>
      <c r="AX85" s="91"/>
      <c r="AY85" s="91"/>
      <c r="AZ85" s="277"/>
      <c r="BA85" s="277"/>
      <c r="BB85" s="91">
        <v>1590000</v>
      </c>
      <c r="BC85" s="91">
        <v>1551000</v>
      </c>
      <c r="BD85" s="91">
        <v>1577480</v>
      </c>
      <c r="BE85" s="301"/>
      <c r="BF85" s="278">
        <v>0</v>
      </c>
      <c r="BG85" s="278">
        <v>69790</v>
      </c>
      <c r="BH85" s="278">
        <v>54100</v>
      </c>
      <c r="BI85" s="278">
        <v>6230</v>
      </c>
      <c r="BJ85" s="278"/>
      <c r="BK85" s="278">
        <v>13120</v>
      </c>
      <c r="BL85" s="302"/>
      <c r="BM85" s="73">
        <v>0</v>
      </c>
      <c r="BN85" s="302"/>
      <c r="BO85" s="91"/>
      <c r="BP85" s="91"/>
      <c r="BQ85" s="91">
        <v>143240</v>
      </c>
      <c r="BR85" s="91">
        <v>1446760</v>
      </c>
      <c r="BS85" s="96">
        <v>1512783</v>
      </c>
      <c r="BT85" s="96">
        <v>1512783</v>
      </c>
      <c r="BW85" s="96">
        <v>69790</v>
      </c>
      <c r="BX85" s="96">
        <v>54100</v>
      </c>
      <c r="BY85" s="96">
        <v>6230</v>
      </c>
      <c r="CA85" s="96">
        <v>12100</v>
      </c>
      <c r="CB85" s="96">
        <v>13400</v>
      </c>
      <c r="CE85" s="96">
        <v>15770</v>
      </c>
      <c r="CF85" s="96">
        <v>171390</v>
      </c>
      <c r="CH85" s="96">
        <v>38620</v>
      </c>
      <c r="CI85" s="96">
        <v>38620</v>
      </c>
    </row>
    <row r="86" spans="1:87" s="96" customFormat="1" ht="15.95" customHeight="1">
      <c r="A86" s="266">
        <v>7</v>
      </c>
      <c r="B86" s="69"/>
      <c r="C86" s="69"/>
      <c r="D86" s="274"/>
      <c r="E86" s="275"/>
      <c r="F86" s="72" t="s">
        <v>207</v>
      </c>
      <c r="G86" s="69">
        <v>300</v>
      </c>
      <c r="H86" s="69" t="s">
        <v>276</v>
      </c>
      <c r="I86" s="74">
        <v>36564</v>
      </c>
      <c r="J86" s="74">
        <v>39356</v>
      </c>
      <c r="K86" s="81">
        <v>14</v>
      </c>
      <c r="L86" s="82">
        <v>5</v>
      </c>
      <c r="M86" s="83">
        <v>0</v>
      </c>
      <c r="N86" s="81">
        <v>21</v>
      </c>
      <c r="O86" s="82">
        <v>0</v>
      </c>
      <c r="P86" s="83">
        <v>25</v>
      </c>
      <c r="Q86" s="81">
        <v>3</v>
      </c>
      <c r="R86" s="82">
        <v>2</v>
      </c>
      <c r="S86" s="83">
        <v>29</v>
      </c>
      <c r="T86" s="84">
        <v>24</v>
      </c>
      <c r="U86" s="82">
        <v>3</v>
      </c>
      <c r="V86" s="83">
        <v>24</v>
      </c>
      <c r="W86" s="106"/>
      <c r="X86" s="74">
        <v>39356</v>
      </c>
      <c r="Y86" s="74" t="s">
        <v>205</v>
      </c>
      <c r="Z86" s="87"/>
      <c r="AA86" s="73">
        <v>44804</v>
      </c>
      <c r="AB86" s="73" t="s">
        <v>206</v>
      </c>
      <c r="AC86" s="73">
        <v>1840000</v>
      </c>
      <c r="AD86" s="91"/>
      <c r="AE86" s="91">
        <v>17</v>
      </c>
      <c r="AF86" s="91">
        <v>26</v>
      </c>
      <c r="AG86" s="91">
        <v>31</v>
      </c>
      <c r="AH86" s="91" t="s">
        <v>277</v>
      </c>
      <c r="AI86" s="276">
        <v>40</v>
      </c>
      <c r="AJ86" s="91">
        <v>1543220</v>
      </c>
      <c r="AK86" s="276"/>
      <c r="AL86" s="276"/>
      <c r="AM86" s="276"/>
      <c r="AN86" s="276"/>
      <c r="AO86" s="91">
        <v>700000</v>
      </c>
      <c r="AP86" s="91"/>
      <c r="AQ86" s="276">
        <v>0</v>
      </c>
      <c r="AR86" s="91"/>
      <c r="AS86" s="91">
        <v>40000</v>
      </c>
      <c r="AT86" s="91"/>
      <c r="AU86" s="91">
        <v>41930</v>
      </c>
      <c r="AV86" s="91">
        <v>117410</v>
      </c>
      <c r="AW86" s="91">
        <v>0</v>
      </c>
      <c r="AX86" s="91"/>
      <c r="AY86" s="91"/>
      <c r="AZ86" s="277"/>
      <c r="BA86" s="277"/>
      <c r="BB86" s="91">
        <v>2428040</v>
      </c>
      <c r="BC86" s="91">
        <v>2363000</v>
      </c>
      <c r="BD86" s="91">
        <v>2403090</v>
      </c>
      <c r="BE86" s="301"/>
      <c r="BF86" s="278">
        <v>0</v>
      </c>
      <c r="BG86" s="278">
        <v>106330</v>
      </c>
      <c r="BH86" s="278">
        <v>82420</v>
      </c>
      <c r="BI86" s="278">
        <v>9490</v>
      </c>
      <c r="BJ86" s="278"/>
      <c r="BK86" s="278">
        <v>19050</v>
      </c>
      <c r="BL86" s="302"/>
      <c r="BM86" s="73">
        <v>900000</v>
      </c>
      <c r="BN86" s="302">
        <v>0</v>
      </c>
      <c r="BO86" s="91"/>
      <c r="BP86" s="91"/>
      <c r="BQ86" s="91">
        <v>1117290</v>
      </c>
      <c r="BR86" s="91">
        <v>1310750</v>
      </c>
      <c r="BS86" s="96">
        <v>2381250</v>
      </c>
      <c r="BT86" s="96">
        <v>2381250</v>
      </c>
      <c r="BW86" s="96">
        <v>106330</v>
      </c>
      <c r="BX86" s="96">
        <v>82420</v>
      </c>
      <c r="BY86" s="96">
        <v>9490</v>
      </c>
      <c r="CA86" s="96">
        <v>19050</v>
      </c>
      <c r="CB86" s="96">
        <v>20240</v>
      </c>
      <c r="CE86" s="96">
        <v>23810</v>
      </c>
      <c r="CF86" s="96">
        <v>261340</v>
      </c>
      <c r="CH86" s="96">
        <v>58340</v>
      </c>
      <c r="CI86" s="96">
        <v>58340</v>
      </c>
    </row>
    <row r="87" spans="1:87" s="96" customFormat="1" ht="15.95" customHeight="1">
      <c r="A87" s="266">
        <v>7</v>
      </c>
      <c r="B87" s="69"/>
      <c r="C87" s="69"/>
      <c r="D87" s="274"/>
      <c r="E87" s="275"/>
      <c r="F87" s="72" t="s">
        <v>207</v>
      </c>
      <c r="G87" s="69">
        <v>300</v>
      </c>
      <c r="H87" s="69" t="s">
        <v>276</v>
      </c>
      <c r="I87" s="74">
        <v>36564</v>
      </c>
      <c r="J87" s="74">
        <v>38047</v>
      </c>
      <c r="K87" s="81">
        <v>18</v>
      </c>
      <c r="L87" s="82">
        <v>0</v>
      </c>
      <c r="M87" s="83">
        <v>0</v>
      </c>
      <c r="N87" s="81">
        <v>21</v>
      </c>
      <c r="O87" s="82">
        <v>0</v>
      </c>
      <c r="P87" s="83">
        <v>25</v>
      </c>
      <c r="Q87" s="81">
        <v>2</v>
      </c>
      <c r="R87" s="82">
        <v>6</v>
      </c>
      <c r="S87" s="83">
        <v>13</v>
      </c>
      <c r="T87" s="84">
        <v>23</v>
      </c>
      <c r="U87" s="82">
        <v>7</v>
      </c>
      <c r="V87" s="83">
        <v>8</v>
      </c>
      <c r="W87" s="106"/>
      <c r="X87" s="74">
        <v>39356</v>
      </c>
      <c r="Y87" s="74" t="s">
        <v>205</v>
      </c>
      <c r="Z87" s="87"/>
      <c r="AA87" s="73">
        <v>44439</v>
      </c>
      <c r="AB87" s="73" t="s">
        <v>206</v>
      </c>
      <c r="AC87" s="73">
        <v>1840000</v>
      </c>
      <c r="AD87" s="91"/>
      <c r="AE87" s="91">
        <v>17</v>
      </c>
      <c r="AF87" s="91">
        <v>26</v>
      </c>
      <c r="AG87" s="91">
        <v>31</v>
      </c>
      <c r="AH87" s="305" t="s">
        <v>277</v>
      </c>
      <c r="AI87" s="276">
        <v>40</v>
      </c>
      <c r="AJ87" s="91">
        <v>1543220</v>
      </c>
      <c r="AK87" s="306"/>
      <c r="AL87" s="276"/>
      <c r="AM87" s="276"/>
      <c r="AN87" s="276"/>
      <c r="AO87" s="91">
        <v>700000</v>
      </c>
      <c r="AP87" s="91"/>
      <c r="AQ87" s="276">
        <v>0</v>
      </c>
      <c r="AR87" s="91"/>
      <c r="AS87" s="91">
        <v>40000</v>
      </c>
      <c r="AT87" s="91"/>
      <c r="AU87" s="91">
        <v>41930</v>
      </c>
      <c r="AV87" s="91">
        <v>117410</v>
      </c>
      <c r="AW87" s="91">
        <v>0</v>
      </c>
      <c r="AX87" s="91"/>
      <c r="AY87" s="91"/>
      <c r="AZ87" s="277"/>
      <c r="BA87" s="277"/>
      <c r="BB87" s="91">
        <v>2428040</v>
      </c>
      <c r="BC87" s="91">
        <v>2474000</v>
      </c>
      <c r="BD87" s="91">
        <v>2515409</v>
      </c>
      <c r="BE87" s="301"/>
      <c r="BF87" s="278">
        <v>0</v>
      </c>
      <c r="BG87" s="278">
        <v>111330</v>
      </c>
      <c r="BH87" s="278">
        <v>86270</v>
      </c>
      <c r="BI87" s="278">
        <v>9930</v>
      </c>
      <c r="BJ87" s="278"/>
      <c r="BK87" s="278">
        <v>20490</v>
      </c>
      <c r="BL87" s="302"/>
      <c r="BM87" s="73">
        <v>420000</v>
      </c>
      <c r="BN87" s="302"/>
      <c r="BO87" s="91"/>
      <c r="BP87" s="91"/>
      <c r="BQ87" s="91">
        <v>648020</v>
      </c>
      <c r="BR87" s="91">
        <v>1780020</v>
      </c>
      <c r="BS87" s="96">
        <v>2469240</v>
      </c>
      <c r="BT87" s="96">
        <v>2469240</v>
      </c>
      <c r="BW87" s="96">
        <v>111330</v>
      </c>
      <c r="BX87" s="96">
        <v>86270</v>
      </c>
      <c r="BY87" s="96">
        <v>3970</v>
      </c>
      <c r="CA87" s="96">
        <v>19750</v>
      </c>
      <c r="CB87" s="96">
        <v>21380</v>
      </c>
      <c r="CE87" s="96">
        <v>25150</v>
      </c>
      <c r="CF87" s="96">
        <v>267850</v>
      </c>
      <c r="CH87" s="96">
        <v>61620</v>
      </c>
      <c r="CI87" s="96">
        <v>61620</v>
      </c>
    </row>
    <row r="88" spans="1:87" s="96" customFormat="1" ht="15.95" customHeight="1">
      <c r="A88" s="266">
        <v>7</v>
      </c>
      <c r="B88" s="69"/>
      <c r="C88" s="69"/>
      <c r="D88" s="274"/>
      <c r="E88" s="275"/>
      <c r="F88" s="72" t="s">
        <v>207</v>
      </c>
      <c r="G88" s="69">
        <v>300</v>
      </c>
      <c r="H88" s="69" t="s">
        <v>204</v>
      </c>
      <c r="I88" s="74">
        <v>36923</v>
      </c>
      <c r="J88" s="74">
        <v>38047</v>
      </c>
      <c r="K88" s="81">
        <v>18</v>
      </c>
      <c r="L88" s="82">
        <v>0</v>
      </c>
      <c r="M88" s="83">
        <v>0</v>
      </c>
      <c r="N88" s="81">
        <v>20</v>
      </c>
      <c r="O88" s="82">
        <v>1</v>
      </c>
      <c r="P88" s="83">
        <v>1</v>
      </c>
      <c r="Q88" s="81">
        <v>6</v>
      </c>
      <c r="R88" s="82">
        <v>6</v>
      </c>
      <c r="S88" s="83">
        <v>25</v>
      </c>
      <c r="T88" s="84">
        <v>26</v>
      </c>
      <c r="U88" s="82">
        <v>7</v>
      </c>
      <c r="V88" s="83">
        <v>26</v>
      </c>
      <c r="W88" s="106"/>
      <c r="X88" s="74">
        <v>39356</v>
      </c>
      <c r="Y88" s="74" t="s">
        <v>205</v>
      </c>
      <c r="Z88" s="87"/>
      <c r="AA88" s="73">
        <v>44439</v>
      </c>
      <c r="AB88" s="73" t="s">
        <v>206</v>
      </c>
      <c r="AC88" s="73">
        <v>1840000</v>
      </c>
      <c r="AD88" s="91"/>
      <c r="AE88" s="91">
        <v>17</v>
      </c>
      <c r="AF88" s="91">
        <v>26</v>
      </c>
      <c r="AG88" s="91">
        <v>31</v>
      </c>
      <c r="AH88" s="91" t="s">
        <v>277</v>
      </c>
      <c r="AI88" s="276">
        <v>40</v>
      </c>
      <c r="AJ88" s="91">
        <v>1543220</v>
      </c>
      <c r="AK88" s="276"/>
      <c r="AL88" s="276"/>
      <c r="AM88" s="276"/>
      <c r="AN88" s="276"/>
      <c r="AO88" s="276">
        <v>700000</v>
      </c>
      <c r="AP88" s="91"/>
      <c r="AQ88" s="276">
        <v>0</v>
      </c>
      <c r="AR88" s="91"/>
      <c r="AS88" s="91">
        <v>40000</v>
      </c>
      <c r="AT88" s="91"/>
      <c r="AU88" s="91">
        <v>41930</v>
      </c>
      <c r="AV88" s="91">
        <v>117410</v>
      </c>
      <c r="AW88" s="91">
        <v>0</v>
      </c>
      <c r="AX88" s="91"/>
      <c r="AY88" s="91"/>
      <c r="AZ88" s="277"/>
      <c r="BA88" s="277"/>
      <c r="BB88" s="91">
        <v>2428040</v>
      </c>
      <c r="BC88" s="91">
        <v>0</v>
      </c>
      <c r="BD88" s="91">
        <v>2384000</v>
      </c>
      <c r="BE88" s="301"/>
      <c r="BF88" s="278">
        <v>0</v>
      </c>
      <c r="BG88" s="278">
        <v>0</v>
      </c>
      <c r="BH88" s="278">
        <v>81770</v>
      </c>
      <c r="BI88" s="278">
        <v>9410</v>
      </c>
      <c r="BJ88" s="278"/>
      <c r="BK88" s="278">
        <v>12890</v>
      </c>
      <c r="BL88" s="302"/>
      <c r="BM88" s="73"/>
      <c r="BN88" s="302"/>
      <c r="BO88" s="91"/>
      <c r="BP88" s="91"/>
      <c r="BQ88" s="91">
        <v>104070</v>
      </c>
      <c r="BR88" s="91">
        <v>2323970</v>
      </c>
      <c r="BS88" s="96">
        <v>2417475</v>
      </c>
      <c r="BT88" s="96">
        <v>2417475</v>
      </c>
      <c r="BW88" s="96">
        <v>0</v>
      </c>
      <c r="BX88" s="96">
        <v>81770</v>
      </c>
      <c r="BY88" s="96">
        <v>9410</v>
      </c>
      <c r="CA88" s="96">
        <v>25770</v>
      </c>
      <c r="CB88" s="96">
        <v>20540</v>
      </c>
      <c r="CE88" s="96">
        <v>24170</v>
      </c>
      <c r="CF88" s="96">
        <v>161660</v>
      </c>
      <c r="CH88" s="96">
        <v>59200</v>
      </c>
      <c r="CI88" s="96">
        <v>59200</v>
      </c>
    </row>
    <row r="89" spans="1:87" s="96" customFormat="1" ht="15.95" customHeight="1">
      <c r="A89" s="266">
        <v>7</v>
      </c>
      <c r="B89" s="69"/>
      <c r="C89" s="69"/>
      <c r="D89" s="274"/>
      <c r="E89" s="275"/>
      <c r="F89" s="72" t="s">
        <v>207</v>
      </c>
      <c r="G89" s="69">
        <v>300</v>
      </c>
      <c r="H89" s="69" t="s">
        <v>276</v>
      </c>
      <c r="I89" s="74">
        <v>38018</v>
      </c>
      <c r="J89" s="74">
        <v>38047</v>
      </c>
      <c r="K89" s="81">
        <v>18</v>
      </c>
      <c r="L89" s="82">
        <v>0</v>
      </c>
      <c r="M89" s="83">
        <v>0</v>
      </c>
      <c r="N89" s="81">
        <v>17</v>
      </c>
      <c r="O89" s="82">
        <v>1</v>
      </c>
      <c r="P89" s="83">
        <v>1</v>
      </c>
      <c r="Q89" s="81">
        <v>8</v>
      </c>
      <c r="R89" s="82">
        <v>6</v>
      </c>
      <c r="S89" s="83">
        <v>14</v>
      </c>
      <c r="T89" s="84">
        <v>25</v>
      </c>
      <c r="U89" s="82">
        <v>7</v>
      </c>
      <c r="V89" s="83">
        <v>15</v>
      </c>
      <c r="W89" s="106"/>
      <c r="X89" s="74">
        <v>39356</v>
      </c>
      <c r="Y89" s="74" t="s">
        <v>205</v>
      </c>
      <c r="Z89" s="87"/>
      <c r="AA89" s="73">
        <v>45900</v>
      </c>
      <c r="AB89" s="73" t="s">
        <v>206</v>
      </c>
      <c r="AC89" s="73">
        <v>1840000</v>
      </c>
      <c r="AD89" s="91"/>
      <c r="AE89" s="91">
        <v>17</v>
      </c>
      <c r="AF89" s="91">
        <v>26</v>
      </c>
      <c r="AG89" s="91">
        <v>31</v>
      </c>
      <c r="AH89" s="91" t="s">
        <v>277</v>
      </c>
      <c r="AI89" s="276">
        <v>40</v>
      </c>
      <c r="AJ89" s="91">
        <v>1543220</v>
      </c>
      <c r="AK89" s="276"/>
      <c r="AL89" s="276"/>
      <c r="AM89" s="276"/>
      <c r="AN89" s="276"/>
      <c r="AO89" s="276">
        <v>700000</v>
      </c>
      <c r="AP89" s="91"/>
      <c r="AQ89" s="276">
        <v>0</v>
      </c>
      <c r="AR89" s="91"/>
      <c r="AS89" s="91"/>
      <c r="AT89" s="91"/>
      <c r="AU89" s="91">
        <v>41930</v>
      </c>
      <c r="AV89" s="91">
        <v>117410</v>
      </c>
      <c r="AW89" s="91">
        <v>0</v>
      </c>
      <c r="AX89" s="91"/>
      <c r="AY89" s="91"/>
      <c r="AZ89" s="277"/>
      <c r="BA89" s="277"/>
      <c r="BB89" s="91">
        <v>2388040</v>
      </c>
      <c r="BC89" s="91">
        <v>2431000</v>
      </c>
      <c r="BD89" s="91">
        <v>2472056</v>
      </c>
      <c r="BE89" s="301"/>
      <c r="BF89" s="278">
        <v>0</v>
      </c>
      <c r="BG89" s="278">
        <v>109390</v>
      </c>
      <c r="BH89" s="278">
        <v>84790</v>
      </c>
      <c r="BI89" s="278">
        <v>9760</v>
      </c>
      <c r="BJ89" s="278"/>
      <c r="BK89" s="278">
        <v>20800</v>
      </c>
      <c r="BL89" s="302"/>
      <c r="BM89" s="73">
        <v>600000</v>
      </c>
      <c r="BN89" s="302"/>
      <c r="BO89" s="91"/>
      <c r="BP89" s="91"/>
      <c r="BQ89" s="91">
        <v>824740</v>
      </c>
      <c r="BR89" s="91">
        <v>1563300</v>
      </c>
      <c r="BS89" s="96">
        <v>2601100</v>
      </c>
      <c r="BT89" s="96">
        <v>2601100</v>
      </c>
      <c r="BW89" s="96">
        <v>109390</v>
      </c>
      <c r="BX89" s="96">
        <v>84790</v>
      </c>
      <c r="BY89" s="96">
        <v>9760</v>
      </c>
      <c r="CA89" s="96">
        <v>18740</v>
      </c>
      <c r="CB89" s="96">
        <v>21010</v>
      </c>
      <c r="CE89" s="96">
        <v>24720</v>
      </c>
      <c r="CF89" s="96">
        <v>268410</v>
      </c>
      <c r="CH89" s="96">
        <v>60550</v>
      </c>
      <c r="CI89" s="96">
        <v>60550</v>
      </c>
    </row>
    <row r="90" spans="1:87" s="96" customFormat="1" ht="15.95" customHeight="1">
      <c r="A90" s="266">
        <v>7</v>
      </c>
      <c r="B90" s="69"/>
      <c r="C90" s="69"/>
      <c r="D90" s="274"/>
      <c r="E90" s="275"/>
      <c r="F90" s="72" t="s">
        <v>207</v>
      </c>
      <c r="G90" s="69">
        <v>365</v>
      </c>
      <c r="H90" s="69" t="s">
        <v>204</v>
      </c>
      <c r="I90" s="74">
        <v>42795</v>
      </c>
      <c r="J90" s="74">
        <v>43891</v>
      </c>
      <c r="K90" s="81">
        <v>2</v>
      </c>
      <c r="L90" s="82">
        <v>0</v>
      </c>
      <c r="M90" s="83">
        <v>0</v>
      </c>
      <c r="N90" s="81">
        <v>1</v>
      </c>
      <c r="O90" s="82">
        <v>0</v>
      </c>
      <c r="P90" s="83">
        <v>1</v>
      </c>
      <c r="Q90" s="81"/>
      <c r="R90" s="82"/>
      <c r="S90" s="83"/>
      <c r="T90" s="84">
        <v>1</v>
      </c>
      <c r="U90" s="82">
        <v>0</v>
      </c>
      <c r="V90" s="83">
        <v>1</v>
      </c>
      <c r="W90" s="106"/>
      <c r="X90" s="74">
        <v>43160</v>
      </c>
      <c r="Y90" s="74" t="s">
        <v>205</v>
      </c>
      <c r="Z90" s="87"/>
      <c r="AA90" s="73">
        <v>48638</v>
      </c>
      <c r="AB90" s="73" t="s">
        <v>274</v>
      </c>
      <c r="AC90" s="73">
        <v>920000</v>
      </c>
      <c r="AD90" s="91"/>
      <c r="AE90" s="91"/>
      <c r="AF90" s="91">
        <v>23</v>
      </c>
      <c r="AG90" s="91">
        <v>31</v>
      </c>
      <c r="AH90" s="91"/>
      <c r="AI90" s="276">
        <v>20</v>
      </c>
      <c r="AJ90" s="91">
        <v>682580</v>
      </c>
      <c r="AK90" s="276"/>
      <c r="AL90" s="276"/>
      <c r="AM90" s="276"/>
      <c r="AN90" s="276"/>
      <c r="AO90" s="276">
        <v>17500</v>
      </c>
      <c r="AP90" s="91"/>
      <c r="AQ90" s="276">
        <v>0</v>
      </c>
      <c r="AR90" s="91"/>
      <c r="AS90" s="91"/>
      <c r="AT90" s="91"/>
      <c r="AU90" s="91"/>
      <c r="AV90" s="91">
        <v>103870</v>
      </c>
      <c r="AW90" s="91">
        <v>0</v>
      </c>
      <c r="AX90" s="91"/>
      <c r="AY90" s="91"/>
      <c r="AZ90" s="277"/>
      <c r="BA90" s="277"/>
      <c r="BB90" s="91">
        <v>803950</v>
      </c>
      <c r="BC90" s="91">
        <v>694000</v>
      </c>
      <c r="BD90" s="91">
        <v>706055</v>
      </c>
      <c r="BE90" s="301"/>
      <c r="BF90" s="278">
        <v>0</v>
      </c>
      <c r="BG90" s="278">
        <v>31230</v>
      </c>
      <c r="BH90" s="278">
        <v>24210</v>
      </c>
      <c r="BI90" s="278">
        <v>2780</v>
      </c>
      <c r="BJ90" s="278"/>
      <c r="BK90" s="278">
        <v>4400</v>
      </c>
      <c r="BL90" s="302"/>
      <c r="BM90" s="73"/>
      <c r="BN90" s="302"/>
      <c r="BO90" s="91"/>
      <c r="BP90" s="91"/>
      <c r="BQ90" s="91">
        <v>62620</v>
      </c>
      <c r="BR90" s="91">
        <v>741330</v>
      </c>
      <c r="BS90" s="96">
        <v>860666</v>
      </c>
      <c r="BT90" s="96">
        <v>860666</v>
      </c>
      <c r="BW90" s="96">
        <v>31230</v>
      </c>
      <c r="BX90" s="96">
        <v>24210</v>
      </c>
      <c r="BY90" s="96">
        <v>2780</v>
      </c>
      <c r="CA90" s="96">
        <v>6880</v>
      </c>
      <c r="CB90" s="96">
        <v>6000</v>
      </c>
      <c r="CE90" s="96">
        <v>7060</v>
      </c>
      <c r="CF90" s="96">
        <v>78160</v>
      </c>
      <c r="CH90" s="96">
        <v>17280</v>
      </c>
      <c r="CI90" s="96">
        <v>17280</v>
      </c>
    </row>
    <row r="91" spans="1:87" s="96" customFormat="1" ht="15.95" customHeight="1">
      <c r="A91" s="266">
        <v>7</v>
      </c>
      <c r="B91" s="69"/>
      <c r="C91" s="69"/>
      <c r="D91" s="274"/>
      <c r="E91" s="275"/>
      <c r="F91" s="72" t="s">
        <v>207</v>
      </c>
      <c r="G91" s="69">
        <v>365</v>
      </c>
      <c r="H91" s="69" t="s">
        <v>204</v>
      </c>
      <c r="I91" s="74">
        <v>42795</v>
      </c>
      <c r="J91" s="74">
        <v>43891</v>
      </c>
      <c r="K91" s="81">
        <v>2</v>
      </c>
      <c r="L91" s="82">
        <v>0</v>
      </c>
      <c r="M91" s="83">
        <v>0</v>
      </c>
      <c r="N91" s="81">
        <v>1</v>
      </c>
      <c r="O91" s="82">
        <v>0</v>
      </c>
      <c r="P91" s="83">
        <v>1</v>
      </c>
      <c r="Q91" s="81"/>
      <c r="R91" s="82"/>
      <c r="S91" s="83"/>
      <c r="T91" s="84">
        <v>1</v>
      </c>
      <c r="U91" s="82">
        <v>0</v>
      </c>
      <c r="V91" s="83">
        <v>1</v>
      </c>
      <c r="W91" s="106"/>
      <c r="X91" s="74">
        <v>43160</v>
      </c>
      <c r="Y91" s="74" t="s">
        <v>205</v>
      </c>
      <c r="Z91" s="87"/>
      <c r="AA91" s="73">
        <v>48091</v>
      </c>
      <c r="AB91" s="73" t="s">
        <v>274</v>
      </c>
      <c r="AC91" s="73">
        <v>920000</v>
      </c>
      <c r="AD91" s="91"/>
      <c r="AE91" s="91"/>
      <c r="AF91" s="91">
        <v>23</v>
      </c>
      <c r="AG91" s="91">
        <v>31</v>
      </c>
      <c r="AH91" s="91"/>
      <c r="AI91" s="276">
        <v>20</v>
      </c>
      <c r="AJ91" s="91">
        <v>682580</v>
      </c>
      <c r="AK91" s="276"/>
      <c r="AL91" s="276"/>
      <c r="AM91" s="276"/>
      <c r="AN91" s="276"/>
      <c r="AO91" s="276">
        <v>17500</v>
      </c>
      <c r="AP91" s="91"/>
      <c r="AQ91" s="276">
        <v>0</v>
      </c>
      <c r="AR91" s="91"/>
      <c r="AS91" s="91">
        <v>20000</v>
      </c>
      <c r="AT91" s="91"/>
      <c r="AU91" s="91"/>
      <c r="AV91" s="91">
        <v>103870</v>
      </c>
      <c r="AW91" s="91">
        <v>0</v>
      </c>
      <c r="AX91" s="91"/>
      <c r="AY91" s="91"/>
      <c r="AZ91" s="277"/>
      <c r="BA91" s="277"/>
      <c r="BB91" s="91">
        <v>823950</v>
      </c>
      <c r="BC91" s="91">
        <v>720000</v>
      </c>
      <c r="BD91" s="91">
        <v>732315</v>
      </c>
      <c r="BE91" s="301"/>
      <c r="BF91" s="278">
        <v>0</v>
      </c>
      <c r="BG91" s="278">
        <v>32400</v>
      </c>
      <c r="BH91" s="278">
        <v>25110</v>
      </c>
      <c r="BI91" s="278">
        <v>2890</v>
      </c>
      <c r="BJ91" s="278"/>
      <c r="BK91" s="278">
        <v>4400</v>
      </c>
      <c r="BL91" s="302"/>
      <c r="BM91" s="73"/>
      <c r="BN91" s="302"/>
      <c r="BO91" s="91"/>
      <c r="BP91" s="91"/>
      <c r="BQ91" s="91">
        <v>64800</v>
      </c>
      <c r="BR91" s="91">
        <v>759150</v>
      </c>
      <c r="BS91" s="96">
        <v>873416</v>
      </c>
      <c r="BT91" s="96">
        <v>873416</v>
      </c>
      <c r="BW91" s="96">
        <v>32400</v>
      </c>
      <c r="BX91" s="96">
        <v>25110</v>
      </c>
      <c r="BY91" s="96">
        <v>2890</v>
      </c>
      <c r="CA91" s="96">
        <v>7300</v>
      </c>
      <c r="CB91" s="96">
        <v>6220</v>
      </c>
      <c r="CE91" s="96">
        <v>7320</v>
      </c>
      <c r="CF91" s="96">
        <v>81240</v>
      </c>
      <c r="CH91" s="96">
        <v>17920</v>
      </c>
      <c r="CI91" s="96">
        <v>17920</v>
      </c>
    </row>
    <row r="92" spans="1:87" s="96" customFormat="1" ht="15.95" customHeight="1">
      <c r="A92" s="266">
        <v>7</v>
      </c>
      <c r="B92" s="69"/>
      <c r="C92" s="69"/>
      <c r="D92" s="274"/>
      <c r="E92" s="275"/>
      <c r="F92" s="72" t="s">
        <v>272</v>
      </c>
      <c r="G92" s="69">
        <v>300</v>
      </c>
      <c r="H92" s="69"/>
      <c r="I92" s="74">
        <v>43891</v>
      </c>
      <c r="J92" s="74"/>
      <c r="K92" s="81" t="s">
        <v>278</v>
      </c>
      <c r="L92" s="82" t="s">
        <v>278</v>
      </c>
      <c r="M92" s="83" t="s">
        <v>278</v>
      </c>
      <c r="N92" s="81" t="s">
        <v>278</v>
      </c>
      <c r="O92" s="82" t="s">
        <v>278</v>
      </c>
      <c r="P92" s="83" t="s">
        <v>278</v>
      </c>
      <c r="Q92" s="81"/>
      <c r="R92" s="82"/>
      <c r="S92" s="83"/>
      <c r="T92" s="84">
        <v>0</v>
      </c>
      <c r="U92" s="82">
        <v>0</v>
      </c>
      <c r="V92" s="83">
        <v>0</v>
      </c>
      <c r="W92" s="106" t="s">
        <v>213</v>
      </c>
      <c r="X92" s="74"/>
      <c r="Y92" s="74" t="s">
        <v>205</v>
      </c>
      <c r="Z92" s="87"/>
      <c r="AA92" s="73" t="s">
        <v>279</v>
      </c>
      <c r="AB92" s="73" t="s">
        <v>274</v>
      </c>
      <c r="AC92" s="73">
        <v>1097100</v>
      </c>
      <c r="AD92" s="91"/>
      <c r="AE92" s="91"/>
      <c r="AF92" s="91">
        <v>31</v>
      </c>
      <c r="AG92" s="91">
        <v>31</v>
      </c>
      <c r="AH92" s="91"/>
      <c r="AI92" s="276">
        <v>20</v>
      </c>
      <c r="AJ92" s="91">
        <v>1069500</v>
      </c>
      <c r="AK92" s="276"/>
      <c r="AL92" s="276"/>
      <c r="AM92" s="276">
        <v>125000</v>
      </c>
      <c r="AN92" s="276">
        <v>35000</v>
      </c>
      <c r="AO92" s="276">
        <v>0</v>
      </c>
      <c r="AP92" s="91"/>
      <c r="AQ92" s="276">
        <v>0</v>
      </c>
      <c r="AR92" s="91"/>
      <c r="AS92" s="91">
        <v>70000</v>
      </c>
      <c r="AT92" s="91"/>
      <c r="AU92" s="91"/>
      <c r="AV92" s="91">
        <v>70000</v>
      </c>
      <c r="AW92" s="91"/>
      <c r="AX92" s="91"/>
      <c r="AY92" s="91"/>
      <c r="AZ92" s="277"/>
      <c r="BA92" s="277"/>
      <c r="BB92" s="91">
        <v>1369500</v>
      </c>
      <c r="BC92" s="91">
        <v>1206000</v>
      </c>
      <c r="BD92" s="91">
        <v>1226479</v>
      </c>
      <c r="BE92" s="301"/>
      <c r="BF92" s="278">
        <v>0</v>
      </c>
      <c r="BG92" s="278">
        <v>54270</v>
      </c>
      <c r="BH92" s="278">
        <v>42060</v>
      </c>
      <c r="BI92" s="278">
        <v>4840</v>
      </c>
      <c r="BJ92" s="278"/>
      <c r="BK92" s="278">
        <v>11770</v>
      </c>
      <c r="BL92" s="302"/>
      <c r="BM92" s="73"/>
      <c r="BN92" s="302"/>
      <c r="BO92" s="91"/>
      <c r="BP92" s="91"/>
      <c r="BQ92" s="91">
        <v>112940</v>
      </c>
      <c r="BR92" s="91">
        <v>1256560</v>
      </c>
      <c r="BS92" s="96">
        <v>1471775</v>
      </c>
      <c r="BT92" s="96">
        <v>1471775</v>
      </c>
      <c r="BW92" s="96">
        <v>54270</v>
      </c>
      <c r="BX92" s="96">
        <v>42060</v>
      </c>
      <c r="BY92" s="96">
        <v>4840</v>
      </c>
      <c r="CA92" s="96">
        <v>11770</v>
      </c>
      <c r="CB92" s="96">
        <v>12510</v>
      </c>
      <c r="CE92" s="96">
        <v>14710</v>
      </c>
      <c r="CF92" s="96">
        <v>140160</v>
      </c>
      <c r="CH92" s="96">
        <v>36050</v>
      </c>
      <c r="CI92" s="96">
        <v>36050</v>
      </c>
    </row>
    <row r="93" spans="1:87" s="96" customFormat="1" ht="15.95" customHeight="1">
      <c r="A93" s="266">
        <v>7</v>
      </c>
      <c r="B93" s="69"/>
      <c r="C93" s="69"/>
      <c r="D93" s="274"/>
      <c r="E93" s="275"/>
      <c r="F93" s="72" t="s">
        <v>203</v>
      </c>
      <c r="G93" s="69">
        <v>365</v>
      </c>
      <c r="H93" s="69"/>
      <c r="I93" s="74">
        <v>44256</v>
      </c>
      <c r="J93" s="74"/>
      <c r="K93" s="81" t="s">
        <v>278</v>
      </c>
      <c r="L93" s="82" t="s">
        <v>278</v>
      </c>
      <c r="M93" s="83" t="s">
        <v>278</v>
      </c>
      <c r="N93" s="81" t="s">
        <v>278</v>
      </c>
      <c r="O93" s="82" t="s">
        <v>278</v>
      </c>
      <c r="P93" s="83" t="s">
        <v>278</v>
      </c>
      <c r="Q93" s="81"/>
      <c r="R93" s="82"/>
      <c r="S93" s="83"/>
      <c r="T93" s="84">
        <v>0</v>
      </c>
      <c r="U93" s="82">
        <v>0</v>
      </c>
      <c r="V93" s="83">
        <v>0</v>
      </c>
      <c r="W93" s="106" t="s">
        <v>213</v>
      </c>
      <c r="X93" s="74"/>
      <c r="Y93" s="74" t="s">
        <v>205</v>
      </c>
      <c r="Z93" s="87"/>
      <c r="AA93" s="73"/>
      <c r="AB93" s="73" t="s">
        <v>280</v>
      </c>
      <c r="AC93" s="73">
        <v>2200000</v>
      </c>
      <c r="AD93" s="91"/>
      <c r="AE93" s="91"/>
      <c r="AF93" s="91">
        <v>31</v>
      </c>
      <c r="AG93" s="91">
        <v>31</v>
      </c>
      <c r="AH93" s="91"/>
      <c r="AI93" s="276">
        <v>40</v>
      </c>
      <c r="AJ93" s="91">
        <v>2200000</v>
      </c>
      <c r="AK93" s="276">
        <v>100000</v>
      </c>
      <c r="AL93" s="276"/>
      <c r="AM93" s="276"/>
      <c r="AN93" s="276"/>
      <c r="AO93" s="276">
        <v>0</v>
      </c>
      <c r="AP93" s="91">
        <v>0</v>
      </c>
      <c r="AQ93" s="276"/>
      <c r="AR93" s="91"/>
      <c r="AS93" s="91"/>
      <c r="AT93" s="91"/>
      <c r="AU93" s="91"/>
      <c r="AV93" s="91"/>
      <c r="AW93" s="91"/>
      <c r="AX93" s="91">
        <v>0</v>
      </c>
      <c r="AY93" s="91"/>
      <c r="AZ93" s="277"/>
      <c r="BA93" s="277"/>
      <c r="BB93" s="91">
        <v>2300000</v>
      </c>
      <c r="BC93" s="91">
        <v>2300000</v>
      </c>
      <c r="BD93" s="91">
        <v>2541660</v>
      </c>
      <c r="BE93" s="301"/>
      <c r="BF93" s="278"/>
      <c r="BG93" s="278">
        <v>114340</v>
      </c>
      <c r="BH93" s="278">
        <v>87170</v>
      </c>
      <c r="BI93" s="278">
        <v>10040</v>
      </c>
      <c r="BJ93" s="278"/>
      <c r="BK93" s="278"/>
      <c r="BL93" s="302"/>
      <c r="BM93" s="73"/>
      <c r="BN93" s="302"/>
      <c r="BO93" s="91"/>
      <c r="BP93" s="91"/>
      <c r="BQ93" s="91">
        <v>211550</v>
      </c>
      <c r="BR93" s="91">
        <v>2088450</v>
      </c>
      <c r="BS93" s="96">
        <v>2300000</v>
      </c>
      <c r="BT93" s="96">
        <v>2300000</v>
      </c>
      <c r="BW93" s="96">
        <v>114340</v>
      </c>
      <c r="BX93" s="96">
        <v>87170</v>
      </c>
      <c r="BY93" s="96">
        <v>10040</v>
      </c>
      <c r="BZ93" s="96">
        <v>0</v>
      </c>
      <c r="CA93" s="96">
        <v>0</v>
      </c>
      <c r="CC93" s="96">
        <v>0</v>
      </c>
      <c r="CE93" s="96">
        <v>25410</v>
      </c>
      <c r="CF93" s="96">
        <v>236960</v>
      </c>
      <c r="CH93" s="96">
        <v>0</v>
      </c>
      <c r="CI93" s="96">
        <v>0</v>
      </c>
    </row>
    <row r="94" spans="1:87" s="96" customFormat="1" ht="15.95" customHeight="1">
      <c r="A94" s="266">
        <v>7</v>
      </c>
      <c r="B94" s="69"/>
      <c r="C94" s="69"/>
      <c r="D94" s="274"/>
      <c r="E94" s="275"/>
      <c r="F94" s="72" t="s">
        <v>272</v>
      </c>
      <c r="G94" s="69">
        <v>365</v>
      </c>
      <c r="H94" s="69"/>
      <c r="I94" s="74"/>
      <c r="J94" s="74"/>
      <c r="K94" s="81"/>
      <c r="L94" s="82"/>
      <c r="M94" s="83"/>
      <c r="N94" s="81"/>
      <c r="O94" s="82"/>
      <c r="P94" s="83"/>
      <c r="Q94" s="81"/>
      <c r="R94" s="82"/>
      <c r="S94" s="83"/>
      <c r="T94" s="84"/>
      <c r="U94" s="82"/>
      <c r="V94" s="83"/>
      <c r="W94" s="106" t="s">
        <v>213</v>
      </c>
      <c r="X94" s="74"/>
      <c r="Y94" s="74" t="s">
        <v>205</v>
      </c>
      <c r="Z94" s="87"/>
      <c r="AA94" s="73" t="s">
        <v>279</v>
      </c>
      <c r="AB94" s="73" t="s">
        <v>281</v>
      </c>
      <c r="AC94" s="73">
        <v>600000</v>
      </c>
      <c r="AD94" s="91"/>
      <c r="AE94" s="91"/>
      <c r="AF94" s="91">
        <v>31</v>
      </c>
      <c r="AG94" s="91">
        <v>31</v>
      </c>
      <c r="AH94" s="91"/>
      <c r="AI94" s="276">
        <v>14</v>
      </c>
      <c r="AJ94" s="91">
        <v>600000</v>
      </c>
      <c r="AK94" s="276"/>
      <c r="AL94" s="276"/>
      <c r="AM94" s="276"/>
      <c r="AN94" s="276"/>
      <c r="AO94" s="276"/>
      <c r="AP94" s="91"/>
      <c r="AQ94" s="276"/>
      <c r="AR94" s="91"/>
      <c r="AS94" s="91"/>
      <c r="AT94" s="91"/>
      <c r="AU94" s="91"/>
      <c r="AV94" s="91"/>
      <c r="AW94" s="91"/>
      <c r="AX94" s="91"/>
      <c r="AY94" s="91"/>
      <c r="AZ94" s="277"/>
      <c r="BA94" s="277"/>
      <c r="BB94" s="91">
        <v>600000</v>
      </c>
      <c r="BC94" s="91"/>
      <c r="BD94" s="91"/>
      <c r="BE94" s="301"/>
      <c r="BF94" s="278">
        <v>0</v>
      </c>
      <c r="BG94" s="278"/>
      <c r="BH94" s="278"/>
      <c r="BI94" s="278"/>
      <c r="BJ94" s="278"/>
      <c r="BK94" s="278"/>
      <c r="BL94" s="302"/>
      <c r="BM94" s="302"/>
      <c r="BN94" s="302"/>
      <c r="BO94" s="91"/>
      <c r="BP94" s="91"/>
      <c r="BQ94" s="91">
        <v>0</v>
      </c>
      <c r="BR94" s="91">
        <v>600000</v>
      </c>
      <c r="BS94" s="96">
        <v>562916</v>
      </c>
      <c r="BT94" s="96">
        <v>562916</v>
      </c>
      <c r="BZ94" s="96">
        <v>0</v>
      </c>
      <c r="CB94" s="96">
        <v>4760</v>
      </c>
      <c r="CC94" s="96">
        <v>0</v>
      </c>
      <c r="CE94" s="96">
        <v>5600</v>
      </c>
      <c r="CF94" s="96">
        <v>10360</v>
      </c>
      <c r="CH94" s="96">
        <v>4760</v>
      </c>
      <c r="CI94" s="96">
        <v>4760</v>
      </c>
    </row>
    <row r="95" spans="1:87" s="96" customFormat="1" ht="15.95" customHeight="1">
      <c r="A95" s="266">
        <v>7</v>
      </c>
      <c r="B95" s="69"/>
      <c r="C95" s="69"/>
      <c r="D95" s="274"/>
      <c r="E95" s="275"/>
      <c r="F95" s="72" t="s">
        <v>271</v>
      </c>
      <c r="G95" s="69"/>
      <c r="H95" s="69"/>
      <c r="I95" s="74">
        <v>44307</v>
      </c>
      <c r="J95" s="74"/>
      <c r="K95" s="81"/>
      <c r="L95" s="82"/>
      <c r="M95" s="83"/>
      <c r="N95" s="81"/>
      <c r="O95" s="82"/>
      <c r="P95" s="83"/>
      <c r="Q95" s="81"/>
      <c r="R95" s="82"/>
      <c r="S95" s="83"/>
      <c r="T95" s="84"/>
      <c r="U95" s="82"/>
      <c r="V95" s="83"/>
      <c r="W95" s="106" t="s">
        <v>213</v>
      </c>
      <c r="X95" s="74"/>
      <c r="Y95" s="74" t="s">
        <v>205</v>
      </c>
      <c r="Z95" s="87"/>
      <c r="AA95" s="73"/>
      <c r="AB95" s="73" t="s">
        <v>282</v>
      </c>
      <c r="AC95" s="73">
        <v>1225000</v>
      </c>
      <c r="AD95" s="91"/>
      <c r="AE95" s="91"/>
      <c r="AF95" s="91"/>
      <c r="AG95" s="91"/>
      <c r="AH95" s="91"/>
      <c r="AI95" s="276">
        <v>13.5</v>
      </c>
      <c r="AJ95" s="91">
        <v>1225000</v>
      </c>
      <c r="AK95" s="276"/>
      <c r="AL95" s="276"/>
      <c r="AM95" s="276"/>
      <c r="AN95" s="276"/>
      <c r="AO95" s="276"/>
      <c r="AP95" s="91"/>
      <c r="AQ95" s="276"/>
      <c r="AR95" s="91"/>
      <c r="AS95" s="91"/>
      <c r="AT95" s="91"/>
      <c r="AU95" s="91"/>
      <c r="AV95" s="91"/>
      <c r="AW95" s="91"/>
      <c r="AX95" s="91"/>
      <c r="AY95" s="91"/>
      <c r="AZ95" s="277"/>
      <c r="BA95" s="277"/>
      <c r="BB95" s="91">
        <v>1225000</v>
      </c>
      <c r="BC95" s="91"/>
      <c r="BD95" s="91"/>
      <c r="BE95" s="301"/>
      <c r="BF95" s="278"/>
      <c r="BG95" s="278"/>
      <c r="BH95" s="278"/>
      <c r="BI95" s="278"/>
      <c r="BJ95" s="278"/>
      <c r="BK95" s="278">
        <v>10800</v>
      </c>
      <c r="BL95" s="302"/>
      <c r="BM95" s="302"/>
      <c r="BN95" s="302"/>
      <c r="BO95" s="91"/>
      <c r="BP95" s="91"/>
      <c r="BQ95" s="91">
        <v>10800</v>
      </c>
      <c r="BR95" s="91">
        <v>1214200</v>
      </c>
      <c r="CA95" s="96">
        <v>10800</v>
      </c>
      <c r="CB95" s="96">
        <v>11470</v>
      </c>
      <c r="CE95" s="96">
        <v>13500</v>
      </c>
      <c r="CH95" s="96">
        <v>33070</v>
      </c>
      <c r="CI95" s="96">
        <v>33070</v>
      </c>
    </row>
    <row r="96" spans="1:87" s="96" customFormat="1" ht="15.95" customHeight="1">
      <c r="A96" s="468">
        <v>8</v>
      </c>
      <c r="B96" s="282"/>
      <c r="C96" s="282"/>
      <c r="D96" s="283"/>
      <c r="E96" s="284"/>
      <c r="F96" s="285" t="s">
        <v>272</v>
      </c>
      <c r="G96" s="282">
        <v>365</v>
      </c>
      <c r="H96" s="282" t="s">
        <v>204</v>
      </c>
      <c r="I96" s="286">
        <v>43374</v>
      </c>
      <c r="J96" s="286">
        <v>43374</v>
      </c>
      <c r="K96" s="287">
        <v>3</v>
      </c>
      <c r="L96" s="288">
        <v>5</v>
      </c>
      <c r="M96" s="289">
        <v>0</v>
      </c>
      <c r="N96" s="287">
        <v>2</v>
      </c>
      <c r="O96" s="288">
        <v>5</v>
      </c>
      <c r="P96" s="289">
        <v>1</v>
      </c>
      <c r="Q96" s="287"/>
      <c r="R96" s="288"/>
      <c r="S96" s="289"/>
      <c r="T96" s="290">
        <v>2</v>
      </c>
      <c r="U96" s="288">
        <v>5</v>
      </c>
      <c r="V96" s="289">
        <v>1</v>
      </c>
      <c r="W96" s="291"/>
      <c r="X96" s="286">
        <v>43374</v>
      </c>
      <c r="Y96" s="286" t="s">
        <v>205</v>
      </c>
      <c r="Z96" s="292"/>
      <c r="AA96" s="293">
        <v>44439</v>
      </c>
      <c r="AB96" s="293" t="s">
        <v>273</v>
      </c>
      <c r="AC96" s="293">
        <v>1840000</v>
      </c>
      <c r="AD96" s="294"/>
      <c r="AE96" s="294"/>
      <c r="AF96" s="294">
        <v>31</v>
      </c>
      <c r="AG96" s="294">
        <v>31</v>
      </c>
      <c r="AH96" s="294"/>
      <c r="AI96" s="295">
        <v>27.5</v>
      </c>
      <c r="AJ96" s="294">
        <v>1265000</v>
      </c>
      <c r="AK96" s="295"/>
      <c r="AL96" s="295"/>
      <c r="AM96" s="295"/>
      <c r="AN96" s="295"/>
      <c r="AO96" s="295"/>
      <c r="AP96" s="294"/>
      <c r="AQ96" s="295">
        <v>0</v>
      </c>
      <c r="AR96" s="294"/>
      <c r="AS96" s="294"/>
      <c r="AT96" s="294">
        <v>0</v>
      </c>
      <c r="AU96" s="294"/>
      <c r="AV96" s="294">
        <v>140000</v>
      </c>
      <c r="AW96" s="294"/>
      <c r="AX96" s="294"/>
      <c r="AY96" s="294"/>
      <c r="AZ96" s="296"/>
      <c r="BA96" s="296"/>
      <c r="BB96" s="294">
        <v>1405000</v>
      </c>
      <c r="BC96" s="294"/>
      <c r="BD96" s="294">
        <v>1381675</v>
      </c>
      <c r="BE96" s="304"/>
      <c r="BF96" s="299">
        <v>0</v>
      </c>
      <c r="BG96" s="299">
        <v>0</v>
      </c>
      <c r="BH96" s="299">
        <v>47390</v>
      </c>
      <c r="BI96" s="299">
        <v>5450</v>
      </c>
      <c r="BJ96" s="299"/>
      <c r="BK96" s="299">
        <v>11050</v>
      </c>
      <c r="BL96" s="300"/>
      <c r="BM96" s="300"/>
      <c r="BN96" s="300"/>
      <c r="BO96" s="294"/>
      <c r="BP96" s="294"/>
      <c r="BQ96" s="294">
        <v>63890</v>
      </c>
      <c r="BR96" s="294">
        <v>1341110</v>
      </c>
      <c r="BS96" s="96">
        <v>1251341</v>
      </c>
      <c r="BT96" s="96">
        <v>1251341</v>
      </c>
      <c r="BW96" s="96">
        <v>0</v>
      </c>
      <c r="BX96" s="96">
        <v>47390</v>
      </c>
      <c r="BY96" s="96">
        <v>5450</v>
      </c>
      <c r="CA96" s="96">
        <v>11050</v>
      </c>
      <c r="CB96" s="96">
        <v>11740</v>
      </c>
      <c r="CE96" s="96">
        <v>13810</v>
      </c>
      <c r="CF96" s="96">
        <v>89440</v>
      </c>
      <c r="CH96" s="96">
        <v>33840</v>
      </c>
      <c r="CI96" s="96">
        <v>33840</v>
      </c>
    </row>
    <row r="97" spans="1:87" s="96" customFormat="1" ht="15.95" customHeight="1">
      <c r="A97" s="468">
        <v>8</v>
      </c>
      <c r="B97" s="282"/>
      <c r="C97" s="282"/>
      <c r="D97" s="283"/>
      <c r="E97" s="284"/>
      <c r="F97" s="285" t="s">
        <v>272</v>
      </c>
      <c r="G97" s="282">
        <v>365</v>
      </c>
      <c r="H97" s="282" t="s">
        <v>204</v>
      </c>
      <c r="I97" s="286">
        <v>41701</v>
      </c>
      <c r="J97" s="286">
        <v>43160</v>
      </c>
      <c r="K97" s="287">
        <v>4</v>
      </c>
      <c r="L97" s="288">
        <v>0</v>
      </c>
      <c r="M97" s="289">
        <v>0</v>
      </c>
      <c r="N97" s="287">
        <v>3</v>
      </c>
      <c r="O97" s="288">
        <v>0</v>
      </c>
      <c r="P97" s="289">
        <v>1</v>
      </c>
      <c r="Q97" s="287"/>
      <c r="R97" s="288"/>
      <c r="S97" s="289"/>
      <c r="T97" s="290">
        <v>3</v>
      </c>
      <c r="U97" s="288">
        <v>0</v>
      </c>
      <c r="V97" s="289">
        <v>1</v>
      </c>
      <c r="W97" s="291"/>
      <c r="X97" s="286">
        <v>43160</v>
      </c>
      <c r="Y97" s="286" t="s">
        <v>205</v>
      </c>
      <c r="Z97" s="292"/>
      <c r="AA97" s="293">
        <v>49368</v>
      </c>
      <c r="AB97" s="293" t="s">
        <v>274</v>
      </c>
      <c r="AC97" s="293">
        <v>1840000</v>
      </c>
      <c r="AD97" s="294"/>
      <c r="AE97" s="294"/>
      <c r="AF97" s="294">
        <v>31</v>
      </c>
      <c r="AG97" s="294">
        <v>31</v>
      </c>
      <c r="AH97" s="294"/>
      <c r="AI97" s="295">
        <v>20</v>
      </c>
      <c r="AJ97" s="294">
        <v>920000</v>
      </c>
      <c r="AK97" s="295"/>
      <c r="AL97" s="295"/>
      <c r="AM97" s="295"/>
      <c r="AN97" s="295"/>
      <c r="AO97" s="295">
        <v>52500</v>
      </c>
      <c r="AP97" s="294"/>
      <c r="AQ97" s="295">
        <v>0</v>
      </c>
      <c r="AR97" s="294"/>
      <c r="AS97" s="294">
        <v>30000</v>
      </c>
      <c r="AT97" s="294"/>
      <c r="AU97" s="294"/>
      <c r="AV97" s="294">
        <v>140000</v>
      </c>
      <c r="AW97" s="294">
        <v>225000</v>
      </c>
      <c r="AX97" s="294"/>
      <c r="AY97" s="294"/>
      <c r="AZ97" s="296"/>
      <c r="BA97" s="294"/>
      <c r="BB97" s="294">
        <v>1367500</v>
      </c>
      <c r="BC97" s="294">
        <v>1101000</v>
      </c>
      <c r="BD97" s="294">
        <v>1119840</v>
      </c>
      <c r="BE97" s="304"/>
      <c r="BF97" s="299">
        <v>0</v>
      </c>
      <c r="BG97" s="299">
        <v>49540</v>
      </c>
      <c r="BH97" s="299">
        <v>38410</v>
      </c>
      <c r="BI97" s="299">
        <v>4420</v>
      </c>
      <c r="BJ97" s="299"/>
      <c r="BK97" s="299">
        <v>8950</v>
      </c>
      <c r="BL97" s="300"/>
      <c r="BM97" s="300">
        <v>0</v>
      </c>
      <c r="BN97" s="300"/>
      <c r="BO97" s="294"/>
      <c r="BP97" s="294"/>
      <c r="BQ97" s="294">
        <v>101320</v>
      </c>
      <c r="BR97" s="294">
        <v>1266180</v>
      </c>
      <c r="BS97" s="96">
        <v>1012061</v>
      </c>
      <c r="BT97" s="96">
        <v>1012061</v>
      </c>
      <c r="BW97" s="96">
        <v>49340</v>
      </c>
      <c r="BX97" s="96">
        <v>38410</v>
      </c>
      <c r="BY97" s="96">
        <v>4420</v>
      </c>
      <c r="CA97" s="96">
        <v>8950</v>
      </c>
      <c r="CB97" s="96">
        <v>9510</v>
      </c>
      <c r="CE97" s="96">
        <v>11190</v>
      </c>
      <c r="CF97" s="96">
        <v>121820</v>
      </c>
      <c r="CH97" s="96">
        <v>27410</v>
      </c>
      <c r="CI97" s="96">
        <v>27410</v>
      </c>
    </row>
    <row r="98" spans="1:87" s="96" customFormat="1" ht="15.95" customHeight="1">
      <c r="A98" s="468">
        <v>8</v>
      </c>
      <c r="B98" s="282"/>
      <c r="C98" s="282"/>
      <c r="D98" s="283"/>
      <c r="E98" s="284"/>
      <c r="F98" s="285" t="s">
        <v>272</v>
      </c>
      <c r="G98" s="282">
        <v>365</v>
      </c>
      <c r="H98" s="282" t="s">
        <v>204</v>
      </c>
      <c r="I98" s="286">
        <v>40970</v>
      </c>
      <c r="J98" s="286">
        <v>40970</v>
      </c>
      <c r="K98" s="287">
        <v>9</v>
      </c>
      <c r="L98" s="288">
        <v>11</v>
      </c>
      <c r="M98" s="289">
        <v>27</v>
      </c>
      <c r="N98" s="287">
        <v>9</v>
      </c>
      <c r="O98" s="288">
        <v>0</v>
      </c>
      <c r="P98" s="289">
        <v>0</v>
      </c>
      <c r="Q98" s="287">
        <v>3</v>
      </c>
      <c r="R98" s="288">
        <v>4</v>
      </c>
      <c r="S98" s="289">
        <v>1</v>
      </c>
      <c r="T98" s="290">
        <v>12</v>
      </c>
      <c r="U98" s="288">
        <v>4</v>
      </c>
      <c r="V98" s="289">
        <v>1</v>
      </c>
      <c r="W98" s="291"/>
      <c r="X98" s="286">
        <v>41335</v>
      </c>
      <c r="Y98" s="286" t="s">
        <v>205</v>
      </c>
      <c r="Z98" s="292"/>
      <c r="AA98" s="293">
        <v>52109</v>
      </c>
      <c r="AB98" s="293" t="s">
        <v>275</v>
      </c>
      <c r="AC98" s="293">
        <v>1840000</v>
      </c>
      <c r="AD98" s="294"/>
      <c r="AE98" s="294"/>
      <c r="AF98" s="294">
        <v>31</v>
      </c>
      <c r="AG98" s="294">
        <v>31</v>
      </c>
      <c r="AH98" s="294"/>
      <c r="AI98" s="295">
        <v>25</v>
      </c>
      <c r="AJ98" s="294">
        <v>1150000</v>
      </c>
      <c r="AK98" s="295"/>
      <c r="AL98" s="295"/>
      <c r="AM98" s="295"/>
      <c r="AN98" s="295"/>
      <c r="AO98" s="295">
        <v>262500</v>
      </c>
      <c r="AP98" s="294"/>
      <c r="AQ98" s="295">
        <v>0</v>
      </c>
      <c r="AR98" s="294"/>
      <c r="AS98" s="294">
        <v>37500</v>
      </c>
      <c r="AT98" s="294"/>
      <c r="AU98" s="294">
        <v>0</v>
      </c>
      <c r="AV98" s="294">
        <v>140000</v>
      </c>
      <c r="AW98" s="294">
        <v>281250</v>
      </c>
      <c r="AX98" s="294"/>
      <c r="AY98" s="294"/>
      <c r="AZ98" s="296"/>
      <c r="BA98" s="294"/>
      <c r="BB98" s="294">
        <v>1871250</v>
      </c>
      <c r="BC98" s="294">
        <v>1551000</v>
      </c>
      <c r="BD98" s="294">
        <v>1577480</v>
      </c>
      <c r="BE98" s="304"/>
      <c r="BF98" s="299">
        <v>0</v>
      </c>
      <c r="BG98" s="299">
        <v>69790</v>
      </c>
      <c r="BH98" s="299">
        <v>54100</v>
      </c>
      <c r="BI98" s="299">
        <v>6230</v>
      </c>
      <c r="BJ98" s="299"/>
      <c r="BK98" s="299">
        <v>12610</v>
      </c>
      <c r="BL98" s="300"/>
      <c r="BM98" s="300">
        <v>0</v>
      </c>
      <c r="BN98" s="300"/>
      <c r="BO98" s="294"/>
      <c r="BP98" s="294"/>
      <c r="BQ98" s="294">
        <v>142730</v>
      </c>
      <c r="BR98" s="294">
        <v>1728520</v>
      </c>
      <c r="BS98" s="96">
        <v>1512783</v>
      </c>
      <c r="BT98" s="96">
        <v>1512783</v>
      </c>
      <c r="BW98" s="96">
        <v>69790</v>
      </c>
      <c r="BX98" s="96">
        <v>54100</v>
      </c>
      <c r="BY98" s="96">
        <v>6230</v>
      </c>
      <c r="CA98" s="96">
        <v>12610</v>
      </c>
      <c r="CB98" s="96">
        <v>13400</v>
      </c>
      <c r="CE98" s="96">
        <v>15770</v>
      </c>
      <c r="CF98" s="96">
        <v>171900</v>
      </c>
      <c r="CH98" s="96">
        <v>38620</v>
      </c>
      <c r="CI98" s="96">
        <v>38620</v>
      </c>
    </row>
    <row r="99" spans="1:87" s="96" customFormat="1" ht="15.95" customHeight="1">
      <c r="A99" s="468">
        <v>8</v>
      </c>
      <c r="B99" s="282"/>
      <c r="C99" s="282"/>
      <c r="D99" s="283"/>
      <c r="E99" s="284"/>
      <c r="F99" s="285" t="s">
        <v>207</v>
      </c>
      <c r="G99" s="282">
        <v>300</v>
      </c>
      <c r="H99" s="282" t="s">
        <v>276</v>
      </c>
      <c r="I99" s="286">
        <v>36564</v>
      </c>
      <c r="J99" s="286">
        <v>39356</v>
      </c>
      <c r="K99" s="287">
        <v>14</v>
      </c>
      <c r="L99" s="288">
        <v>5</v>
      </c>
      <c r="M99" s="289">
        <v>0</v>
      </c>
      <c r="N99" s="287">
        <v>21</v>
      </c>
      <c r="O99" s="288">
        <v>0</v>
      </c>
      <c r="P99" s="289">
        <v>25</v>
      </c>
      <c r="Q99" s="287">
        <v>3</v>
      </c>
      <c r="R99" s="288">
        <v>2</v>
      </c>
      <c r="S99" s="289">
        <v>29</v>
      </c>
      <c r="T99" s="290">
        <v>24</v>
      </c>
      <c r="U99" s="288">
        <v>3</v>
      </c>
      <c r="V99" s="289">
        <v>24</v>
      </c>
      <c r="W99" s="291"/>
      <c r="X99" s="286">
        <v>39356</v>
      </c>
      <c r="Y99" s="286" t="s">
        <v>205</v>
      </c>
      <c r="Z99" s="292"/>
      <c r="AA99" s="293">
        <v>44804</v>
      </c>
      <c r="AB99" s="293" t="s">
        <v>206</v>
      </c>
      <c r="AC99" s="293">
        <v>1840000</v>
      </c>
      <c r="AD99" s="294"/>
      <c r="AE99" s="294">
        <v>13</v>
      </c>
      <c r="AF99" s="294">
        <v>18</v>
      </c>
      <c r="AG99" s="294">
        <v>31</v>
      </c>
      <c r="AH99" s="294" t="s">
        <v>277</v>
      </c>
      <c r="AI99" s="295">
        <v>40</v>
      </c>
      <c r="AJ99" s="294">
        <v>1068380</v>
      </c>
      <c r="AK99" s="295"/>
      <c r="AL99" s="295"/>
      <c r="AM99" s="295"/>
      <c r="AN99" s="295"/>
      <c r="AO99" s="295">
        <v>700000</v>
      </c>
      <c r="AP99" s="294"/>
      <c r="AQ99" s="295">
        <v>0</v>
      </c>
      <c r="AR99" s="294"/>
      <c r="AS99" s="294">
        <v>40000</v>
      </c>
      <c r="AT99" s="294"/>
      <c r="AU99" s="294">
        <v>20960</v>
      </c>
      <c r="AV99" s="294">
        <v>81290</v>
      </c>
      <c r="AW99" s="294">
        <v>450000</v>
      </c>
      <c r="AX99" s="294"/>
      <c r="AY99" s="294"/>
      <c r="AZ99" s="296"/>
      <c r="BA99" s="294"/>
      <c r="BB99" s="294">
        <v>2360630</v>
      </c>
      <c r="BC99" s="294">
        <v>2363000</v>
      </c>
      <c r="BD99" s="294">
        <v>2403090</v>
      </c>
      <c r="BE99" s="304"/>
      <c r="BF99" s="299">
        <v>0</v>
      </c>
      <c r="BG99" s="299">
        <v>106330</v>
      </c>
      <c r="BH99" s="299">
        <v>82420</v>
      </c>
      <c r="BI99" s="299">
        <v>9490</v>
      </c>
      <c r="BJ99" s="299"/>
      <c r="BK99" s="299">
        <v>19050</v>
      </c>
      <c r="BL99" s="300"/>
      <c r="BM99" s="300">
        <v>900000</v>
      </c>
      <c r="BN99" s="300">
        <v>0</v>
      </c>
      <c r="BO99" s="294"/>
      <c r="BP99" s="294"/>
      <c r="BQ99" s="294">
        <v>1117290</v>
      </c>
      <c r="BR99" s="294">
        <v>1243340</v>
      </c>
      <c r="BS99" s="96">
        <v>2381250</v>
      </c>
      <c r="BT99" s="96">
        <v>2381250</v>
      </c>
      <c r="BW99" s="96">
        <v>106330</v>
      </c>
      <c r="BX99" s="96">
        <v>82420</v>
      </c>
      <c r="BY99" s="96">
        <v>9490</v>
      </c>
      <c r="CA99" s="96">
        <v>19050</v>
      </c>
      <c r="CB99" s="96">
        <v>20240</v>
      </c>
      <c r="CE99" s="96">
        <v>23810</v>
      </c>
      <c r="CF99" s="96">
        <v>261340</v>
      </c>
      <c r="CH99" s="96">
        <v>58340</v>
      </c>
      <c r="CI99" s="96">
        <v>58340</v>
      </c>
    </row>
    <row r="100" spans="1:87" s="96" customFormat="1" ht="15.95" customHeight="1">
      <c r="A100" s="468">
        <v>8</v>
      </c>
      <c r="B100" s="69" t="s">
        <v>483</v>
      </c>
      <c r="C100" s="282"/>
      <c r="D100" s="283"/>
      <c r="E100" s="284"/>
      <c r="F100" s="285" t="s">
        <v>207</v>
      </c>
      <c r="G100" s="282">
        <v>300</v>
      </c>
      <c r="H100" s="282" t="s">
        <v>276</v>
      </c>
      <c r="I100" s="286">
        <v>36564</v>
      </c>
      <c r="J100" s="286">
        <v>38047</v>
      </c>
      <c r="K100" s="287">
        <v>18</v>
      </c>
      <c r="L100" s="288">
        <v>0</v>
      </c>
      <c r="M100" s="289">
        <v>0</v>
      </c>
      <c r="N100" s="287">
        <v>21</v>
      </c>
      <c r="O100" s="288">
        <v>0</v>
      </c>
      <c r="P100" s="289">
        <v>25</v>
      </c>
      <c r="Q100" s="287">
        <v>2</v>
      </c>
      <c r="R100" s="288">
        <v>6</v>
      </c>
      <c r="S100" s="289">
        <v>13</v>
      </c>
      <c r="T100" s="290">
        <v>23</v>
      </c>
      <c r="U100" s="288">
        <v>7</v>
      </c>
      <c r="V100" s="289">
        <v>8</v>
      </c>
      <c r="W100" s="291"/>
      <c r="X100" s="286">
        <v>39356</v>
      </c>
      <c r="Y100" s="286" t="s">
        <v>205</v>
      </c>
      <c r="Z100" s="292"/>
      <c r="AA100" s="293">
        <v>44439</v>
      </c>
      <c r="AB100" s="293" t="s">
        <v>206</v>
      </c>
      <c r="AC100" s="293">
        <v>1840000</v>
      </c>
      <c r="AD100" s="294"/>
      <c r="AE100" s="294">
        <v>13</v>
      </c>
      <c r="AF100" s="294">
        <v>18</v>
      </c>
      <c r="AG100" s="294">
        <v>31</v>
      </c>
      <c r="AH100" s="294" t="s">
        <v>277</v>
      </c>
      <c r="AI100" s="295">
        <v>40</v>
      </c>
      <c r="AJ100" s="294">
        <v>1068380</v>
      </c>
      <c r="AK100" s="295"/>
      <c r="AL100" s="295"/>
      <c r="AM100" s="295"/>
      <c r="AN100" s="295"/>
      <c r="AO100" s="295">
        <v>700000</v>
      </c>
      <c r="AP100" s="294"/>
      <c r="AQ100" s="295">
        <v>0</v>
      </c>
      <c r="AR100" s="294"/>
      <c r="AS100" s="294">
        <v>40000</v>
      </c>
      <c r="AT100" s="294"/>
      <c r="AU100" s="294">
        <v>20960</v>
      </c>
      <c r="AV100" s="294">
        <v>81290</v>
      </c>
      <c r="AW100" s="294">
        <v>450000</v>
      </c>
      <c r="AX100" s="294"/>
      <c r="AY100" s="294"/>
      <c r="AZ100" s="296"/>
      <c r="BA100" s="294"/>
      <c r="BB100" s="294">
        <v>2360630</v>
      </c>
      <c r="BC100" s="294">
        <v>2474000</v>
      </c>
      <c r="BD100" s="294">
        <v>2515409</v>
      </c>
      <c r="BE100" s="304"/>
      <c r="BF100" s="299">
        <v>0</v>
      </c>
      <c r="BG100" s="299"/>
      <c r="BH100" s="299">
        <v>86270</v>
      </c>
      <c r="BI100" s="299">
        <v>9930</v>
      </c>
      <c r="BJ100" s="299">
        <v>-5960</v>
      </c>
      <c r="BK100" s="299">
        <v>20120</v>
      </c>
      <c r="BL100" s="300"/>
      <c r="BM100" s="300">
        <v>420000</v>
      </c>
      <c r="BN100" s="300"/>
      <c r="BO100" s="294"/>
      <c r="BP100" s="294"/>
      <c r="BQ100" s="294">
        <v>530360</v>
      </c>
      <c r="BR100" s="294">
        <v>1830270</v>
      </c>
      <c r="BS100" s="96">
        <v>2469240</v>
      </c>
      <c r="BT100" s="96">
        <v>2469240</v>
      </c>
      <c r="BW100" s="96">
        <v>0</v>
      </c>
      <c r="BX100" s="96">
        <v>86270</v>
      </c>
      <c r="BY100" s="96">
        <v>9930</v>
      </c>
      <c r="CA100" s="96">
        <v>20120</v>
      </c>
      <c r="CB100" s="96">
        <v>21380</v>
      </c>
      <c r="CE100" s="96">
        <v>25150</v>
      </c>
      <c r="CF100" s="96">
        <v>162850</v>
      </c>
      <c r="CH100" s="96">
        <v>61620</v>
      </c>
      <c r="CI100" s="96">
        <v>61620</v>
      </c>
    </row>
    <row r="101" spans="1:87" s="96" customFormat="1" ht="15.95" customHeight="1">
      <c r="A101" s="468">
        <v>8</v>
      </c>
      <c r="B101" s="69" t="s">
        <v>484</v>
      </c>
      <c r="C101" s="282"/>
      <c r="D101" s="283"/>
      <c r="E101" s="284"/>
      <c r="F101" s="285" t="s">
        <v>207</v>
      </c>
      <c r="G101" s="282">
        <v>300</v>
      </c>
      <c r="H101" s="282" t="s">
        <v>204</v>
      </c>
      <c r="I101" s="286">
        <v>36923</v>
      </c>
      <c r="J101" s="286">
        <v>38047</v>
      </c>
      <c r="K101" s="287">
        <v>18</v>
      </c>
      <c r="L101" s="288">
        <v>0</v>
      </c>
      <c r="M101" s="289">
        <v>0</v>
      </c>
      <c r="N101" s="287">
        <v>20</v>
      </c>
      <c r="O101" s="288">
        <v>1</v>
      </c>
      <c r="P101" s="289">
        <v>1</v>
      </c>
      <c r="Q101" s="287">
        <v>6</v>
      </c>
      <c r="R101" s="288">
        <v>6</v>
      </c>
      <c r="S101" s="289">
        <v>25</v>
      </c>
      <c r="T101" s="290">
        <v>26</v>
      </c>
      <c r="U101" s="288">
        <v>7</v>
      </c>
      <c r="V101" s="289">
        <v>26</v>
      </c>
      <c r="W101" s="291"/>
      <c r="X101" s="286">
        <v>39356</v>
      </c>
      <c r="Y101" s="286" t="s">
        <v>205</v>
      </c>
      <c r="Z101" s="292"/>
      <c r="AA101" s="293">
        <v>44439</v>
      </c>
      <c r="AB101" s="293" t="s">
        <v>206</v>
      </c>
      <c r="AC101" s="293">
        <v>1840000</v>
      </c>
      <c r="AD101" s="294"/>
      <c r="AE101" s="294">
        <v>13</v>
      </c>
      <c r="AF101" s="294">
        <v>18</v>
      </c>
      <c r="AG101" s="294">
        <v>31</v>
      </c>
      <c r="AH101" s="294" t="s">
        <v>277</v>
      </c>
      <c r="AI101" s="295">
        <v>40</v>
      </c>
      <c r="AJ101" s="294">
        <v>1068380</v>
      </c>
      <c r="AK101" s="295"/>
      <c r="AL101" s="295"/>
      <c r="AM101" s="295"/>
      <c r="AN101" s="295"/>
      <c r="AO101" s="295">
        <v>700000</v>
      </c>
      <c r="AP101" s="294"/>
      <c r="AQ101" s="295">
        <v>0</v>
      </c>
      <c r="AR101" s="294"/>
      <c r="AS101" s="294">
        <v>40000</v>
      </c>
      <c r="AT101" s="294"/>
      <c r="AU101" s="294">
        <v>20960</v>
      </c>
      <c r="AV101" s="294">
        <v>81290</v>
      </c>
      <c r="AW101" s="294">
        <v>450000</v>
      </c>
      <c r="AX101" s="294"/>
      <c r="AY101" s="294"/>
      <c r="AZ101" s="296"/>
      <c r="BA101" s="294"/>
      <c r="BB101" s="294">
        <v>2360630</v>
      </c>
      <c r="BC101" s="294">
        <v>0</v>
      </c>
      <c r="BD101" s="294">
        <v>2384000</v>
      </c>
      <c r="BE101" s="304"/>
      <c r="BF101" s="299">
        <v>0</v>
      </c>
      <c r="BG101" s="299">
        <v>0</v>
      </c>
      <c r="BH101" s="299">
        <v>81770</v>
      </c>
      <c r="BI101" s="299">
        <v>9410</v>
      </c>
      <c r="BJ101" s="299"/>
      <c r="BK101" s="299">
        <v>19330</v>
      </c>
      <c r="BL101" s="300"/>
      <c r="BM101" s="300"/>
      <c r="BN101" s="300"/>
      <c r="BO101" s="294"/>
      <c r="BP101" s="294"/>
      <c r="BQ101" s="294">
        <v>110510</v>
      </c>
      <c r="BR101" s="294">
        <v>2250120</v>
      </c>
      <c r="BS101" s="96">
        <v>2417475</v>
      </c>
      <c r="BT101" s="96">
        <v>2417475</v>
      </c>
      <c r="BW101" s="96">
        <v>0</v>
      </c>
      <c r="BX101" s="96">
        <v>81770</v>
      </c>
      <c r="BY101" s="96">
        <v>9410</v>
      </c>
      <c r="CA101" s="96">
        <v>19330</v>
      </c>
      <c r="CB101" s="96">
        <v>20540</v>
      </c>
      <c r="CE101" s="96">
        <v>24170</v>
      </c>
      <c r="CF101" s="96">
        <v>155220</v>
      </c>
      <c r="CH101" s="96">
        <v>59200</v>
      </c>
      <c r="CI101" s="96">
        <v>59200</v>
      </c>
    </row>
    <row r="102" spans="1:87" s="96" customFormat="1" ht="15.95" customHeight="1">
      <c r="A102" s="468">
        <v>8</v>
      </c>
      <c r="B102" s="69" t="s">
        <v>428</v>
      </c>
      <c r="C102" s="282"/>
      <c r="D102" s="283"/>
      <c r="E102" s="284"/>
      <c r="F102" s="285" t="s">
        <v>207</v>
      </c>
      <c r="G102" s="282">
        <v>300</v>
      </c>
      <c r="H102" s="282" t="s">
        <v>276</v>
      </c>
      <c r="I102" s="286">
        <v>38018</v>
      </c>
      <c r="J102" s="286">
        <v>38047</v>
      </c>
      <c r="K102" s="287">
        <v>18</v>
      </c>
      <c r="L102" s="288">
        <v>0</v>
      </c>
      <c r="M102" s="289">
        <v>0</v>
      </c>
      <c r="N102" s="287">
        <v>17</v>
      </c>
      <c r="O102" s="288">
        <v>1</v>
      </c>
      <c r="P102" s="289">
        <v>1</v>
      </c>
      <c r="Q102" s="287">
        <v>8</v>
      </c>
      <c r="R102" s="288">
        <v>6</v>
      </c>
      <c r="S102" s="289">
        <v>14</v>
      </c>
      <c r="T102" s="290">
        <v>25</v>
      </c>
      <c r="U102" s="288">
        <v>7</v>
      </c>
      <c r="V102" s="289">
        <v>15</v>
      </c>
      <c r="W102" s="291"/>
      <c r="X102" s="286">
        <v>39356</v>
      </c>
      <c r="Y102" s="286" t="s">
        <v>205</v>
      </c>
      <c r="Z102" s="292"/>
      <c r="AA102" s="293">
        <v>45900</v>
      </c>
      <c r="AB102" s="293" t="s">
        <v>206</v>
      </c>
      <c r="AC102" s="293">
        <v>1840000</v>
      </c>
      <c r="AD102" s="294"/>
      <c r="AE102" s="294">
        <v>13</v>
      </c>
      <c r="AF102" s="294">
        <v>18</v>
      </c>
      <c r="AG102" s="294">
        <v>31</v>
      </c>
      <c r="AH102" s="294" t="s">
        <v>277</v>
      </c>
      <c r="AI102" s="295">
        <v>40</v>
      </c>
      <c r="AJ102" s="294">
        <v>1068380</v>
      </c>
      <c r="AK102" s="295"/>
      <c r="AL102" s="295"/>
      <c r="AM102" s="295"/>
      <c r="AN102" s="295"/>
      <c r="AO102" s="295">
        <v>700000</v>
      </c>
      <c r="AP102" s="294"/>
      <c r="AQ102" s="295">
        <v>0</v>
      </c>
      <c r="AR102" s="294"/>
      <c r="AS102" s="294"/>
      <c r="AT102" s="294"/>
      <c r="AU102" s="294">
        <v>20960</v>
      </c>
      <c r="AV102" s="294">
        <v>81290</v>
      </c>
      <c r="AW102" s="294">
        <v>450000</v>
      </c>
      <c r="AX102" s="294"/>
      <c r="AY102" s="294"/>
      <c r="AZ102" s="296"/>
      <c r="BA102" s="294"/>
      <c r="BB102" s="294">
        <v>2320630</v>
      </c>
      <c r="BC102" s="294">
        <v>2431000</v>
      </c>
      <c r="BD102" s="294">
        <v>2472056</v>
      </c>
      <c r="BE102" s="304"/>
      <c r="BF102" s="299">
        <v>0</v>
      </c>
      <c r="BG102" s="299">
        <v>109390</v>
      </c>
      <c r="BH102" s="299">
        <v>84790</v>
      </c>
      <c r="BI102" s="299">
        <v>9760</v>
      </c>
      <c r="BJ102" s="299"/>
      <c r="BK102" s="299">
        <v>19770</v>
      </c>
      <c r="BL102" s="300"/>
      <c r="BM102" s="300">
        <v>600000</v>
      </c>
      <c r="BN102" s="300"/>
      <c r="BO102" s="294"/>
      <c r="BP102" s="294"/>
      <c r="BQ102" s="294">
        <v>823710</v>
      </c>
      <c r="BR102" s="294">
        <v>1496920</v>
      </c>
      <c r="BS102" s="96">
        <v>2601100</v>
      </c>
      <c r="BT102" s="96">
        <v>2601100</v>
      </c>
      <c r="BW102" s="96">
        <v>109390</v>
      </c>
      <c r="BX102" s="96">
        <v>84790</v>
      </c>
      <c r="BY102" s="96">
        <v>9760</v>
      </c>
      <c r="CA102" s="96">
        <v>19770</v>
      </c>
      <c r="CB102" s="96">
        <v>21010</v>
      </c>
      <c r="CE102" s="96">
        <v>24720</v>
      </c>
      <c r="CF102" s="96">
        <v>269440</v>
      </c>
      <c r="CH102" s="96">
        <v>60550</v>
      </c>
      <c r="CI102" s="96">
        <v>60550</v>
      </c>
    </row>
    <row r="103" spans="1:87" s="96" customFormat="1" ht="15.95" customHeight="1">
      <c r="A103" s="468">
        <v>8</v>
      </c>
      <c r="B103" s="69" t="s">
        <v>429</v>
      </c>
      <c r="C103" s="282"/>
      <c r="D103" s="283"/>
      <c r="E103" s="284"/>
      <c r="F103" s="285" t="s">
        <v>207</v>
      </c>
      <c r="G103" s="282">
        <v>365</v>
      </c>
      <c r="H103" s="282" t="s">
        <v>204</v>
      </c>
      <c r="I103" s="286">
        <v>42795</v>
      </c>
      <c r="J103" s="286">
        <v>43891</v>
      </c>
      <c r="K103" s="287">
        <v>2</v>
      </c>
      <c r="L103" s="288">
        <v>0</v>
      </c>
      <c r="M103" s="289">
        <v>0</v>
      </c>
      <c r="N103" s="287">
        <v>1</v>
      </c>
      <c r="O103" s="288">
        <v>0</v>
      </c>
      <c r="P103" s="289">
        <v>1</v>
      </c>
      <c r="Q103" s="287"/>
      <c r="R103" s="288"/>
      <c r="S103" s="289"/>
      <c r="T103" s="290">
        <v>1</v>
      </c>
      <c r="U103" s="288">
        <v>0</v>
      </c>
      <c r="V103" s="289">
        <v>1</v>
      </c>
      <c r="W103" s="291"/>
      <c r="X103" s="286">
        <v>43160</v>
      </c>
      <c r="Y103" s="286" t="s">
        <v>205</v>
      </c>
      <c r="Z103" s="292"/>
      <c r="AA103" s="293">
        <v>48638</v>
      </c>
      <c r="AB103" s="293" t="s">
        <v>274</v>
      </c>
      <c r="AC103" s="293">
        <v>920000</v>
      </c>
      <c r="AD103" s="294"/>
      <c r="AE103" s="294"/>
      <c r="AF103" s="294">
        <v>9</v>
      </c>
      <c r="AG103" s="294">
        <v>31</v>
      </c>
      <c r="AH103" s="294"/>
      <c r="AI103" s="295">
        <v>20</v>
      </c>
      <c r="AJ103" s="294">
        <v>267090</v>
      </c>
      <c r="AK103" s="295"/>
      <c r="AL103" s="295"/>
      <c r="AM103" s="295"/>
      <c r="AN103" s="295"/>
      <c r="AO103" s="295">
        <v>17500</v>
      </c>
      <c r="AP103" s="294"/>
      <c r="AQ103" s="295">
        <v>0</v>
      </c>
      <c r="AR103" s="294"/>
      <c r="AS103" s="294"/>
      <c r="AT103" s="294"/>
      <c r="AU103" s="294"/>
      <c r="AV103" s="294">
        <v>40640</v>
      </c>
      <c r="AW103" s="294">
        <v>225000</v>
      </c>
      <c r="AX103" s="294"/>
      <c r="AY103" s="294"/>
      <c r="AZ103" s="296"/>
      <c r="BA103" s="294"/>
      <c r="BB103" s="294">
        <v>550230</v>
      </c>
      <c r="BC103" s="294">
        <v>694000</v>
      </c>
      <c r="BD103" s="294">
        <v>706055</v>
      </c>
      <c r="BE103" s="304"/>
      <c r="BF103" s="299">
        <v>0</v>
      </c>
      <c r="BG103" s="299">
        <v>31230</v>
      </c>
      <c r="BH103" s="299">
        <v>24210</v>
      </c>
      <c r="BI103" s="299">
        <v>2780</v>
      </c>
      <c r="BJ103" s="299"/>
      <c r="BK103" s="299">
        <v>5640</v>
      </c>
      <c r="BL103" s="300"/>
      <c r="BM103" s="300"/>
      <c r="BN103" s="300"/>
      <c r="BO103" s="294"/>
      <c r="BP103" s="294"/>
      <c r="BQ103" s="294">
        <v>63860</v>
      </c>
      <c r="BR103" s="294">
        <v>486370</v>
      </c>
      <c r="BS103" s="96">
        <v>860666</v>
      </c>
      <c r="BT103" s="96">
        <v>860666</v>
      </c>
      <c r="BW103" s="96">
        <v>31230</v>
      </c>
      <c r="BX103" s="96">
        <v>24210</v>
      </c>
      <c r="BY103" s="96">
        <v>2780</v>
      </c>
      <c r="CA103" s="96">
        <v>5640</v>
      </c>
      <c r="CB103" s="96">
        <v>6000</v>
      </c>
      <c r="CE103" s="96">
        <v>7060</v>
      </c>
      <c r="CF103" s="96">
        <v>76920</v>
      </c>
      <c r="CH103" s="96">
        <v>17280</v>
      </c>
      <c r="CI103" s="96">
        <v>17280</v>
      </c>
    </row>
    <row r="104" spans="1:87" s="96" customFormat="1" ht="15.95" customHeight="1">
      <c r="A104" s="468">
        <v>8</v>
      </c>
      <c r="B104" s="69" t="s">
        <v>430</v>
      </c>
      <c r="C104" s="282"/>
      <c r="D104" s="283"/>
      <c r="E104" s="284"/>
      <c r="F104" s="285" t="s">
        <v>207</v>
      </c>
      <c r="G104" s="282">
        <v>365</v>
      </c>
      <c r="H104" s="282" t="s">
        <v>204</v>
      </c>
      <c r="I104" s="286">
        <v>42795</v>
      </c>
      <c r="J104" s="286">
        <v>43891</v>
      </c>
      <c r="K104" s="287">
        <v>2</v>
      </c>
      <c r="L104" s="288">
        <v>0</v>
      </c>
      <c r="M104" s="289">
        <v>0</v>
      </c>
      <c r="N104" s="287">
        <v>1</v>
      </c>
      <c r="O104" s="288">
        <v>0</v>
      </c>
      <c r="P104" s="289">
        <v>1</v>
      </c>
      <c r="Q104" s="287"/>
      <c r="R104" s="288"/>
      <c r="S104" s="289"/>
      <c r="T104" s="290">
        <v>1</v>
      </c>
      <c r="U104" s="288">
        <v>0</v>
      </c>
      <c r="V104" s="289">
        <v>1</v>
      </c>
      <c r="W104" s="291"/>
      <c r="X104" s="286">
        <v>43160</v>
      </c>
      <c r="Y104" s="286" t="s">
        <v>205</v>
      </c>
      <c r="Z104" s="292"/>
      <c r="AA104" s="293">
        <v>48091</v>
      </c>
      <c r="AB104" s="293" t="s">
        <v>274</v>
      </c>
      <c r="AC104" s="293">
        <v>920000</v>
      </c>
      <c r="AD104" s="294"/>
      <c r="AE104" s="294"/>
      <c r="AF104" s="294">
        <v>9</v>
      </c>
      <c r="AG104" s="294">
        <v>31</v>
      </c>
      <c r="AH104" s="294"/>
      <c r="AI104" s="295">
        <v>20</v>
      </c>
      <c r="AJ104" s="294">
        <v>267090</v>
      </c>
      <c r="AK104" s="295"/>
      <c r="AL104" s="295"/>
      <c r="AM104" s="295"/>
      <c r="AN104" s="295"/>
      <c r="AO104" s="295">
        <v>17500</v>
      </c>
      <c r="AP104" s="294"/>
      <c r="AQ104" s="295">
        <v>0</v>
      </c>
      <c r="AR104" s="294"/>
      <c r="AS104" s="294">
        <v>20000</v>
      </c>
      <c r="AT104" s="294"/>
      <c r="AU104" s="294"/>
      <c r="AV104" s="294">
        <v>40640</v>
      </c>
      <c r="AW104" s="294">
        <v>225000</v>
      </c>
      <c r="AX104" s="294"/>
      <c r="AY104" s="294"/>
      <c r="AZ104" s="296"/>
      <c r="BA104" s="294"/>
      <c r="BB104" s="294">
        <v>570230</v>
      </c>
      <c r="BC104" s="294">
        <v>720000</v>
      </c>
      <c r="BD104" s="294">
        <v>732315</v>
      </c>
      <c r="BE104" s="304"/>
      <c r="BF104" s="299">
        <v>0</v>
      </c>
      <c r="BG104" s="299">
        <v>32400</v>
      </c>
      <c r="BH104" s="299">
        <v>25110</v>
      </c>
      <c r="BI104" s="299">
        <v>2890</v>
      </c>
      <c r="BJ104" s="299"/>
      <c r="BK104" s="299">
        <v>5850</v>
      </c>
      <c r="BL104" s="300"/>
      <c r="BM104" s="300"/>
      <c r="BN104" s="300"/>
      <c r="BO104" s="294"/>
      <c r="BP104" s="294"/>
      <c r="BQ104" s="294">
        <v>66250</v>
      </c>
      <c r="BR104" s="294">
        <v>503980</v>
      </c>
      <c r="BS104" s="96">
        <v>873416</v>
      </c>
      <c r="BT104" s="96">
        <v>873416</v>
      </c>
      <c r="BW104" s="96">
        <v>32400</v>
      </c>
      <c r="BX104" s="96">
        <v>25110</v>
      </c>
      <c r="BY104" s="96">
        <v>2890</v>
      </c>
      <c r="CA104" s="96">
        <v>5850</v>
      </c>
      <c r="CB104" s="96">
        <v>6220</v>
      </c>
      <c r="CE104" s="96">
        <v>7320</v>
      </c>
      <c r="CF104" s="96">
        <v>79790</v>
      </c>
      <c r="CH104" s="96">
        <v>17920</v>
      </c>
      <c r="CI104" s="96">
        <v>17920</v>
      </c>
    </row>
    <row r="105" spans="1:87" s="96" customFormat="1" ht="15.95" customHeight="1">
      <c r="A105" s="468">
        <v>8</v>
      </c>
      <c r="B105" s="69" t="s">
        <v>431</v>
      </c>
      <c r="C105" s="282"/>
      <c r="D105" s="283"/>
      <c r="E105" s="284"/>
      <c r="F105" s="285" t="s">
        <v>272</v>
      </c>
      <c r="G105" s="282">
        <v>300</v>
      </c>
      <c r="H105" s="282"/>
      <c r="I105" s="286">
        <v>43891</v>
      </c>
      <c r="J105" s="286"/>
      <c r="K105" s="287" t="s">
        <v>278</v>
      </c>
      <c r="L105" s="288" t="s">
        <v>278</v>
      </c>
      <c r="M105" s="289" t="s">
        <v>278</v>
      </c>
      <c r="N105" s="287" t="s">
        <v>278</v>
      </c>
      <c r="O105" s="288" t="s">
        <v>278</v>
      </c>
      <c r="P105" s="289" t="s">
        <v>278</v>
      </c>
      <c r="Q105" s="287"/>
      <c r="R105" s="288"/>
      <c r="S105" s="289"/>
      <c r="T105" s="290">
        <v>0</v>
      </c>
      <c r="U105" s="288">
        <v>0</v>
      </c>
      <c r="V105" s="289">
        <v>0</v>
      </c>
      <c r="W105" s="291" t="s">
        <v>213</v>
      </c>
      <c r="X105" s="286"/>
      <c r="Y105" s="286" t="s">
        <v>205</v>
      </c>
      <c r="Z105" s="292"/>
      <c r="AA105" s="293" t="s">
        <v>279</v>
      </c>
      <c r="AB105" s="293" t="s">
        <v>274</v>
      </c>
      <c r="AC105" s="293">
        <v>2139000</v>
      </c>
      <c r="AD105" s="294"/>
      <c r="AE105" s="294"/>
      <c r="AF105" s="294">
        <v>31</v>
      </c>
      <c r="AG105" s="294">
        <v>31</v>
      </c>
      <c r="AH105" s="294"/>
      <c r="AI105" s="295">
        <v>20</v>
      </c>
      <c r="AJ105" s="294">
        <v>1069500</v>
      </c>
      <c r="AK105" s="295"/>
      <c r="AL105" s="295"/>
      <c r="AM105" s="295">
        <v>125000</v>
      </c>
      <c r="AN105" s="295">
        <v>35000</v>
      </c>
      <c r="AO105" s="295">
        <v>0</v>
      </c>
      <c r="AP105" s="294"/>
      <c r="AQ105" s="295">
        <v>0</v>
      </c>
      <c r="AR105" s="294"/>
      <c r="AS105" s="294">
        <v>70000</v>
      </c>
      <c r="AT105" s="294"/>
      <c r="AU105" s="294"/>
      <c r="AV105" s="294">
        <v>70000</v>
      </c>
      <c r="AW105" s="294"/>
      <c r="AX105" s="294"/>
      <c r="AY105" s="294"/>
      <c r="AZ105" s="296"/>
      <c r="BA105" s="294"/>
      <c r="BB105" s="294">
        <v>1369500</v>
      </c>
      <c r="BC105" s="294">
        <v>1206000</v>
      </c>
      <c r="BD105" s="294">
        <v>1226479</v>
      </c>
      <c r="BE105" s="304"/>
      <c r="BF105" s="299">
        <v>0</v>
      </c>
      <c r="BG105" s="299">
        <v>54270</v>
      </c>
      <c r="BH105" s="299">
        <v>42060</v>
      </c>
      <c r="BI105" s="299">
        <v>4840</v>
      </c>
      <c r="BJ105" s="299"/>
      <c r="BK105" s="299">
        <v>11770</v>
      </c>
      <c r="BL105" s="300"/>
      <c r="BM105" s="300"/>
      <c r="BN105" s="300"/>
      <c r="BO105" s="294"/>
      <c r="BP105" s="294"/>
      <c r="BQ105" s="294">
        <v>112940</v>
      </c>
      <c r="BR105" s="294">
        <v>1256560</v>
      </c>
      <c r="BS105" s="96">
        <v>1471775</v>
      </c>
      <c r="BT105" s="96">
        <v>1471775</v>
      </c>
      <c r="BW105" s="96">
        <v>54270</v>
      </c>
      <c r="BX105" s="96">
        <v>42060</v>
      </c>
      <c r="BY105" s="96">
        <v>4840</v>
      </c>
      <c r="CA105" s="96">
        <v>11770</v>
      </c>
      <c r="CB105" s="96">
        <v>12510</v>
      </c>
      <c r="CE105" s="96">
        <v>14710</v>
      </c>
      <c r="CF105" s="96">
        <v>140160</v>
      </c>
      <c r="CH105" s="96">
        <v>36050</v>
      </c>
      <c r="CI105" s="96">
        <v>36050</v>
      </c>
    </row>
    <row r="106" spans="1:87" s="96" customFormat="1" ht="15.95" customHeight="1">
      <c r="A106" s="468">
        <v>8</v>
      </c>
      <c r="B106" s="69" t="s">
        <v>432</v>
      </c>
      <c r="C106" s="282"/>
      <c r="D106" s="283"/>
      <c r="E106" s="284"/>
      <c r="F106" s="285" t="s">
        <v>203</v>
      </c>
      <c r="G106" s="282">
        <v>365</v>
      </c>
      <c r="H106" s="282"/>
      <c r="I106" s="286">
        <v>44256</v>
      </c>
      <c r="J106" s="286"/>
      <c r="K106" s="287" t="s">
        <v>278</v>
      </c>
      <c r="L106" s="288" t="s">
        <v>278</v>
      </c>
      <c r="M106" s="289" t="s">
        <v>278</v>
      </c>
      <c r="N106" s="287" t="s">
        <v>278</v>
      </c>
      <c r="O106" s="288" t="s">
        <v>278</v>
      </c>
      <c r="P106" s="289" t="s">
        <v>278</v>
      </c>
      <c r="Q106" s="287"/>
      <c r="R106" s="288"/>
      <c r="S106" s="289"/>
      <c r="T106" s="290">
        <v>0</v>
      </c>
      <c r="U106" s="288">
        <v>0</v>
      </c>
      <c r="V106" s="289">
        <v>0</v>
      </c>
      <c r="W106" s="291" t="s">
        <v>213</v>
      </c>
      <c r="X106" s="286"/>
      <c r="Y106" s="286" t="s">
        <v>205</v>
      </c>
      <c r="Z106" s="292"/>
      <c r="AA106" s="293"/>
      <c r="AB106" s="293" t="s">
        <v>280</v>
      </c>
      <c r="AC106" s="293">
        <v>2200000</v>
      </c>
      <c r="AD106" s="294"/>
      <c r="AE106" s="294"/>
      <c r="AF106" s="294">
        <v>31</v>
      </c>
      <c r="AG106" s="294">
        <v>31</v>
      </c>
      <c r="AH106" s="294"/>
      <c r="AI106" s="295">
        <v>40</v>
      </c>
      <c r="AJ106" s="294">
        <v>2200000</v>
      </c>
      <c r="AK106" s="295">
        <v>100000</v>
      </c>
      <c r="AL106" s="295"/>
      <c r="AM106" s="295"/>
      <c r="AN106" s="295"/>
      <c r="AO106" s="295">
        <v>0</v>
      </c>
      <c r="AP106" s="294">
        <v>0</v>
      </c>
      <c r="AQ106" s="295"/>
      <c r="AR106" s="294"/>
      <c r="AS106" s="294"/>
      <c r="AT106" s="294"/>
      <c r="AU106" s="294"/>
      <c r="AV106" s="294"/>
      <c r="AW106" s="294"/>
      <c r="AX106" s="294">
        <v>0</v>
      </c>
      <c r="AY106" s="294"/>
      <c r="AZ106" s="296"/>
      <c r="BA106" s="294"/>
      <c r="BB106" s="294">
        <v>2300000</v>
      </c>
      <c r="BC106" s="294">
        <v>2300000</v>
      </c>
      <c r="BD106" s="294">
        <v>2541660</v>
      </c>
      <c r="BE106" s="304"/>
      <c r="BF106" s="299"/>
      <c r="BG106" s="299">
        <v>114340</v>
      </c>
      <c r="BH106" s="299">
        <v>87170</v>
      </c>
      <c r="BI106" s="299">
        <v>10040</v>
      </c>
      <c r="BJ106" s="299"/>
      <c r="BK106" s="299"/>
      <c r="BL106" s="300"/>
      <c r="BM106" s="300"/>
      <c r="BN106" s="300"/>
      <c r="BO106" s="294"/>
      <c r="BP106" s="294"/>
      <c r="BQ106" s="294">
        <v>211550</v>
      </c>
      <c r="BR106" s="294">
        <v>2088450</v>
      </c>
      <c r="BS106" s="96">
        <v>2300000</v>
      </c>
      <c r="BT106" s="96">
        <v>2300000</v>
      </c>
      <c r="BW106" s="96">
        <v>114340</v>
      </c>
      <c r="BX106" s="96">
        <v>87170</v>
      </c>
      <c r="BY106" s="96">
        <v>10040</v>
      </c>
      <c r="BZ106" s="96">
        <v>0</v>
      </c>
      <c r="CA106" s="96">
        <v>0</v>
      </c>
      <c r="CC106" s="96">
        <v>0</v>
      </c>
      <c r="CE106" s="96">
        <v>25410</v>
      </c>
      <c r="CF106" s="96">
        <v>236960</v>
      </c>
      <c r="CH106" s="96">
        <v>0</v>
      </c>
      <c r="CI106" s="96">
        <v>0</v>
      </c>
    </row>
    <row r="107" spans="1:87" s="96" customFormat="1" ht="15.95" customHeight="1">
      <c r="A107" s="468">
        <v>8</v>
      </c>
      <c r="B107" s="69" t="s">
        <v>433</v>
      </c>
      <c r="C107" s="282"/>
      <c r="D107" s="283"/>
      <c r="E107" s="284"/>
      <c r="F107" s="285" t="s">
        <v>272</v>
      </c>
      <c r="G107" s="282">
        <v>365</v>
      </c>
      <c r="H107" s="282"/>
      <c r="I107" s="286"/>
      <c r="J107" s="286"/>
      <c r="K107" s="287"/>
      <c r="L107" s="288"/>
      <c r="M107" s="289"/>
      <c r="N107" s="287"/>
      <c r="O107" s="288"/>
      <c r="P107" s="289"/>
      <c r="Q107" s="287"/>
      <c r="R107" s="288"/>
      <c r="S107" s="289"/>
      <c r="T107" s="290"/>
      <c r="U107" s="288"/>
      <c r="V107" s="289"/>
      <c r="W107" s="291" t="s">
        <v>213</v>
      </c>
      <c r="X107" s="286"/>
      <c r="Y107" s="286" t="s">
        <v>205</v>
      </c>
      <c r="Z107" s="292"/>
      <c r="AA107" s="293" t="s">
        <v>279</v>
      </c>
      <c r="AB107" s="293" t="s">
        <v>281</v>
      </c>
      <c r="AC107" s="293">
        <v>600000</v>
      </c>
      <c r="AD107" s="294"/>
      <c r="AE107" s="294"/>
      <c r="AF107" s="294">
        <v>31</v>
      </c>
      <c r="AG107" s="294">
        <v>31</v>
      </c>
      <c r="AH107" s="294"/>
      <c r="AI107" s="295">
        <v>14</v>
      </c>
      <c r="AJ107" s="294">
        <v>600000</v>
      </c>
      <c r="AK107" s="295"/>
      <c r="AL107" s="295"/>
      <c r="AM107" s="295"/>
      <c r="AN107" s="295"/>
      <c r="AO107" s="295"/>
      <c r="AP107" s="294"/>
      <c r="AQ107" s="295"/>
      <c r="AR107" s="294"/>
      <c r="AS107" s="294"/>
      <c r="AT107" s="294"/>
      <c r="AU107" s="294"/>
      <c r="AV107" s="294"/>
      <c r="AW107" s="294"/>
      <c r="AX107" s="294"/>
      <c r="AY107" s="294"/>
      <c r="AZ107" s="296"/>
      <c r="BA107" s="294"/>
      <c r="BB107" s="294">
        <v>600000</v>
      </c>
      <c r="BC107" s="294"/>
      <c r="BD107" s="294"/>
      <c r="BE107" s="304"/>
      <c r="BF107" s="299">
        <v>0</v>
      </c>
      <c r="BG107" s="299"/>
      <c r="BH107" s="299"/>
      <c r="BI107" s="299"/>
      <c r="BJ107" s="299"/>
      <c r="BK107" s="299">
        <v>0</v>
      </c>
      <c r="BL107" s="300"/>
      <c r="BM107" s="300"/>
      <c r="BN107" s="300"/>
      <c r="BO107" s="294"/>
      <c r="BP107" s="294"/>
      <c r="BQ107" s="294">
        <v>0</v>
      </c>
      <c r="BR107" s="294">
        <v>600000</v>
      </c>
      <c r="BS107" s="96">
        <v>562916</v>
      </c>
      <c r="BT107" s="96">
        <v>562916</v>
      </c>
      <c r="BZ107" s="96">
        <v>0</v>
      </c>
      <c r="CB107" s="96">
        <v>4760</v>
      </c>
      <c r="CC107" s="96">
        <v>0</v>
      </c>
      <c r="CE107" s="96">
        <v>5600</v>
      </c>
      <c r="CF107" s="96">
        <v>10360</v>
      </c>
      <c r="CH107" s="96">
        <v>4760</v>
      </c>
      <c r="CI107" s="96">
        <v>4760</v>
      </c>
    </row>
    <row r="108" spans="1:87" s="96" customFormat="1" ht="15.95" customHeight="1">
      <c r="A108" s="468">
        <v>8</v>
      </c>
      <c r="B108" s="282"/>
      <c r="C108" s="282"/>
      <c r="D108" s="283"/>
      <c r="E108" s="284"/>
      <c r="F108" s="285" t="s">
        <v>271</v>
      </c>
      <c r="G108" s="282"/>
      <c r="H108" s="282"/>
      <c r="I108" s="286">
        <v>44307</v>
      </c>
      <c r="J108" s="286"/>
      <c r="K108" s="287"/>
      <c r="L108" s="288"/>
      <c r="M108" s="289"/>
      <c r="N108" s="287"/>
      <c r="O108" s="288"/>
      <c r="P108" s="289"/>
      <c r="Q108" s="287"/>
      <c r="R108" s="288"/>
      <c r="S108" s="289"/>
      <c r="T108" s="290"/>
      <c r="U108" s="288"/>
      <c r="V108" s="289"/>
      <c r="W108" s="291" t="s">
        <v>213</v>
      </c>
      <c r="X108" s="286"/>
      <c r="Y108" s="286" t="s">
        <v>205</v>
      </c>
      <c r="Z108" s="292"/>
      <c r="AA108" s="293"/>
      <c r="AB108" s="293" t="s">
        <v>282</v>
      </c>
      <c r="AC108" s="293">
        <v>1225000</v>
      </c>
      <c r="AD108" s="294"/>
      <c r="AE108" s="294"/>
      <c r="AF108" s="294"/>
      <c r="AG108" s="294"/>
      <c r="AH108" s="294"/>
      <c r="AI108" s="295">
        <v>13.5</v>
      </c>
      <c r="AJ108" s="294">
        <v>1225000</v>
      </c>
      <c r="AK108" s="295"/>
      <c r="AL108" s="295"/>
      <c r="AM108" s="295"/>
      <c r="AN108" s="295"/>
      <c r="AO108" s="295"/>
      <c r="AP108" s="294"/>
      <c r="AQ108" s="295"/>
      <c r="AR108" s="294"/>
      <c r="AS108" s="294"/>
      <c r="AT108" s="294"/>
      <c r="AU108" s="294"/>
      <c r="AV108" s="294"/>
      <c r="AW108" s="294"/>
      <c r="AX108" s="294"/>
      <c r="AY108" s="294"/>
      <c r="AZ108" s="296"/>
      <c r="BA108" s="294"/>
      <c r="BB108" s="294">
        <v>1225000</v>
      </c>
      <c r="BC108" s="294"/>
      <c r="BD108" s="294"/>
      <c r="BE108" s="304"/>
      <c r="BF108" s="299"/>
      <c r="BG108" s="299"/>
      <c r="BH108" s="299"/>
      <c r="BI108" s="299"/>
      <c r="BJ108" s="299"/>
      <c r="BK108" s="299">
        <v>10800</v>
      </c>
      <c r="BL108" s="300"/>
      <c r="BM108" s="300"/>
      <c r="BN108" s="300"/>
      <c r="BO108" s="294"/>
      <c r="BP108" s="294"/>
      <c r="BQ108" s="294">
        <v>10800</v>
      </c>
      <c r="BR108" s="294">
        <v>1214200</v>
      </c>
      <c r="CA108" s="96">
        <v>10800</v>
      </c>
      <c r="CB108" s="96">
        <v>11470</v>
      </c>
      <c r="CE108" s="96">
        <v>13500</v>
      </c>
      <c r="CH108" s="96">
        <v>33070</v>
      </c>
      <c r="CI108" s="96">
        <v>33070</v>
      </c>
    </row>
    <row r="109" spans="1:87" s="96" customFormat="1" ht="15.95" customHeight="1">
      <c r="A109" s="266">
        <v>9</v>
      </c>
      <c r="B109" s="69"/>
      <c r="C109" s="69"/>
      <c r="D109" s="274"/>
      <c r="E109" s="275"/>
      <c r="F109" s="72" t="s">
        <v>272</v>
      </c>
      <c r="G109" s="69">
        <v>365</v>
      </c>
      <c r="H109" s="69" t="s">
        <v>204</v>
      </c>
      <c r="I109" s="74">
        <v>43374</v>
      </c>
      <c r="J109" s="74">
        <v>43374</v>
      </c>
      <c r="K109" s="81">
        <v>3</v>
      </c>
      <c r="L109" s="82">
        <v>5</v>
      </c>
      <c r="M109" s="83">
        <v>0</v>
      </c>
      <c r="N109" s="81">
        <v>2</v>
      </c>
      <c r="O109" s="82">
        <v>11</v>
      </c>
      <c r="P109" s="83">
        <v>1</v>
      </c>
      <c r="Q109" s="81"/>
      <c r="R109" s="82"/>
      <c r="S109" s="83"/>
      <c r="T109" s="84">
        <v>2</v>
      </c>
      <c r="U109" s="82">
        <v>11</v>
      </c>
      <c r="V109" s="83">
        <v>1</v>
      </c>
      <c r="W109" s="106"/>
      <c r="X109" s="74">
        <v>43374</v>
      </c>
      <c r="Y109" s="74" t="s">
        <v>205</v>
      </c>
      <c r="Z109" s="87"/>
      <c r="AA109" s="73">
        <v>44439</v>
      </c>
      <c r="AB109" s="73" t="s">
        <v>273</v>
      </c>
      <c r="AC109" s="73">
        <v>1840000</v>
      </c>
      <c r="AD109" s="91"/>
      <c r="AE109" s="91"/>
      <c r="AF109" s="91">
        <v>30</v>
      </c>
      <c r="AG109" s="91">
        <v>30</v>
      </c>
      <c r="AH109" s="91"/>
      <c r="AI109" s="276">
        <v>27.5</v>
      </c>
      <c r="AJ109" s="91">
        <v>1265000</v>
      </c>
      <c r="AK109" s="276"/>
      <c r="AL109" s="276"/>
      <c r="AM109" s="276"/>
      <c r="AN109" s="276"/>
      <c r="AO109" s="276"/>
      <c r="AP109" s="91"/>
      <c r="AQ109" s="276">
        <v>412500</v>
      </c>
      <c r="AR109" s="91"/>
      <c r="AS109" s="91"/>
      <c r="AT109" s="91">
        <v>0</v>
      </c>
      <c r="AU109" s="91"/>
      <c r="AV109" s="91">
        <v>140000</v>
      </c>
      <c r="AW109" s="91"/>
      <c r="AX109" s="91"/>
      <c r="AY109" s="91"/>
      <c r="AZ109" s="277"/>
      <c r="BA109" s="91"/>
      <c r="BB109" s="91">
        <v>1817500</v>
      </c>
      <c r="BC109" s="91"/>
      <c r="BD109" s="91">
        <v>1381675</v>
      </c>
      <c r="BE109" s="301"/>
      <c r="BF109" s="278">
        <v>0</v>
      </c>
      <c r="BG109" s="278">
        <v>0</v>
      </c>
      <c r="BH109" s="278">
        <v>47390</v>
      </c>
      <c r="BI109" s="278">
        <v>5450</v>
      </c>
      <c r="BJ109" s="278"/>
      <c r="BK109" s="278">
        <v>11050</v>
      </c>
      <c r="BL109" s="302"/>
      <c r="BM109" s="302"/>
      <c r="BN109" s="302"/>
      <c r="BO109" s="91"/>
      <c r="BP109" s="91"/>
      <c r="BQ109" s="91">
        <v>63890</v>
      </c>
      <c r="BR109" s="91">
        <v>1753610</v>
      </c>
      <c r="BS109" s="96">
        <v>1251341</v>
      </c>
      <c r="BT109" s="96">
        <v>1251341</v>
      </c>
      <c r="BW109" s="96">
        <v>0</v>
      </c>
      <c r="BX109" s="96">
        <v>47390</v>
      </c>
      <c r="BY109" s="96">
        <v>5450</v>
      </c>
      <c r="CA109" s="96">
        <v>11050</v>
      </c>
      <c r="CB109" s="96">
        <v>11740</v>
      </c>
      <c r="CE109" s="96">
        <v>13810</v>
      </c>
      <c r="CF109" s="96">
        <v>89440</v>
      </c>
      <c r="CH109" s="96">
        <v>33840</v>
      </c>
      <c r="CI109" s="96">
        <v>33840</v>
      </c>
    </row>
    <row r="110" spans="1:87" s="96" customFormat="1" ht="15.95" customHeight="1">
      <c r="A110" s="266">
        <v>9</v>
      </c>
      <c r="B110" s="69"/>
      <c r="C110" s="69"/>
      <c r="D110" s="274"/>
      <c r="E110" s="275"/>
      <c r="F110" s="72" t="s">
        <v>272</v>
      </c>
      <c r="G110" s="69">
        <v>365</v>
      </c>
      <c r="H110" s="69" t="s">
        <v>204</v>
      </c>
      <c r="I110" s="74">
        <v>41701</v>
      </c>
      <c r="J110" s="74">
        <v>43160</v>
      </c>
      <c r="K110" s="81">
        <v>4</v>
      </c>
      <c r="L110" s="82">
        <v>0</v>
      </c>
      <c r="M110" s="83">
        <v>0</v>
      </c>
      <c r="N110" s="81">
        <v>3</v>
      </c>
      <c r="O110" s="82">
        <v>6</v>
      </c>
      <c r="P110" s="83">
        <v>1</v>
      </c>
      <c r="Q110" s="81"/>
      <c r="R110" s="82"/>
      <c r="S110" s="83"/>
      <c r="T110" s="84">
        <v>3</v>
      </c>
      <c r="U110" s="82">
        <v>6</v>
      </c>
      <c r="V110" s="83">
        <v>1</v>
      </c>
      <c r="W110" s="106"/>
      <c r="X110" s="74">
        <v>43160</v>
      </c>
      <c r="Y110" s="74" t="s">
        <v>205</v>
      </c>
      <c r="Z110" s="87"/>
      <c r="AA110" s="73">
        <v>49368</v>
      </c>
      <c r="AB110" s="73" t="s">
        <v>274</v>
      </c>
      <c r="AC110" s="73">
        <v>1840000</v>
      </c>
      <c r="AD110" s="91"/>
      <c r="AE110" s="91"/>
      <c r="AF110" s="91">
        <v>30</v>
      </c>
      <c r="AG110" s="91">
        <v>30</v>
      </c>
      <c r="AH110" s="91"/>
      <c r="AI110" s="276">
        <v>20</v>
      </c>
      <c r="AJ110" s="91">
        <v>920000</v>
      </c>
      <c r="AK110" s="276"/>
      <c r="AL110" s="276"/>
      <c r="AM110" s="276"/>
      <c r="AN110" s="276"/>
      <c r="AO110" s="91">
        <v>52500</v>
      </c>
      <c r="AP110" s="91"/>
      <c r="AQ110" s="276">
        <v>300000</v>
      </c>
      <c r="AR110" s="91"/>
      <c r="AS110" s="91">
        <v>30000</v>
      </c>
      <c r="AT110" s="91"/>
      <c r="AU110" s="91"/>
      <c r="AV110" s="91">
        <v>140000</v>
      </c>
      <c r="AW110" s="91">
        <v>0</v>
      </c>
      <c r="AX110" s="91"/>
      <c r="AY110" s="91"/>
      <c r="AZ110" s="277"/>
      <c r="BA110" s="91"/>
      <c r="BB110" s="91">
        <v>1442500</v>
      </c>
      <c r="BC110" s="91">
        <v>1101000</v>
      </c>
      <c r="BD110" s="91">
        <v>1119840</v>
      </c>
      <c r="BE110" s="301"/>
      <c r="BF110" s="278">
        <v>0</v>
      </c>
      <c r="BG110" s="278">
        <v>49540</v>
      </c>
      <c r="BH110" s="278">
        <v>38410</v>
      </c>
      <c r="BI110" s="278">
        <v>4420</v>
      </c>
      <c r="BJ110" s="278"/>
      <c r="BK110" s="278">
        <v>8950</v>
      </c>
      <c r="BL110" s="302"/>
      <c r="BM110" s="302">
        <v>0</v>
      </c>
      <c r="BN110" s="302"/>
      <c r="BO110" s="91"/>
      <c r="BP110" s="91"/>
      <c r="BQ110" s="91">
        <v>101320</v>
      </c>
      <c r="BR110" s="91">
        <v>1341180</v>
      </c>
      <c r="BS110" s="96">
        <v>1012061</v>
      </c>
      <c r="BT110" s="96">
        <v>1012061</v>
      </c>
      <c r="BW110" s="96">
        <v>49340</v>
      </c>
      <c r="BX110" s="96">
        <v>38410</v>
      </c>
      <c r="BY110" s="96">
        <v>4420</v>
      </c>
      <c r="CA110" s="96">
        <v>8950</v>
      </c>
      <c r="CB110" s="96">
        <v>9510</v>
      </c>
      <c r="CE110" s="96">
        <v>11190</v>
      </c>
      <c r="CF110" s="96">
        <v>121820</v>
      </c>
      <c r="CH110" s="96">
        <v>27410</v>
      </c>
      <c r="CI110" s="96">
        <v>27410</v>
      </c>
    </row>
    <row r="111" spans="1:87" s="96" customFormat="1" ht="15.95" customHeight="1">
      <c r="A111" s="266">
        <v>9</v>
      </c>
      <c r="B111" s="69"/>
      <c r="C111" s="69"/>
      <c r="D111" s="274"/>
      <c r="E111" s="275"/>
      <c r="F111" s="72" t="s">
        <v>272</v>
      </c>
      <c r="G111" s="69">
        <v>365</v>
      </c>
      <c r="H111" s="69" t="s">
        <v>204</v>
      </c>
      <c r="I111" s="74">
        <v>40970</v>
      </c>
      <c r="J111" s="74">
        <v>40970</v>
      </c>
      <c r="K111" s="81">
        <v>9</v>
      </c>
      <c r="L111" s="82">
        <v>11</v>
      </c>
      <c r="M111" s="83">
        <v>27</v>
      </c>
      <c r="N111" s="81">
        <v>9</v>
      </c>
      <c r="O111" s="82">
        <v>6</v>
      </c>
      <c r="P111" s="83">
        <v>0</v>
      </c>
      <c r="Q111" s="81">
        <v>3</v>
      </c>
      <c r="R111" s="82">
        <v>4</v>
      </c>
      <c r="S111" s="83">
        <v>1</v>
      </c>
      <c r="T111" s="84">
        <v>12</v>
      </c>
      <c r="U111" s="82">
        <v>10</v>
      </c>
      <c r="V111" s="83">
        <v>1</v>
      </c>
      <c r="W111" s="106"/>
      <c r="X111" s="74">
        <v>41335</v>
      </c>
      <c r="Y111" s="74" t="s">
        <v>205</v>
      </c>
      <c r="Z111" s="87"/>
      <c r="AA111" s="73">
        <v>52109</v>
      </c>
      <c r="AB111" s="73" t="s">
        <v>275</v>
      </c>
      <c r="AC111" s="73">
        <v>1840000</v>
      </c>
      <c r="AD111" s="91"/>
      <c r="AE111" s="91"/>
      <c r="AF111" s="91">
        <v>30</v>
      </c>
      <c r="AG111" s="91">
        <v>30</v>
      </c>
      <c r="AH111" s="91"/>
      <c r="AI111" s="276">
        <v>25</v>
      </c>
      <c r="AJ111" s="91">
        <v>1150000</v>
      </c>
      <c r="AK111" s="276"/>
      <c r="AL111" s="276"/>
      <c r="AM111" s="276"/>
      <c r="AN111" s="276"/>
      <c r="AO111" s="91">
        <v>262500</v>
      </c>
      <c r="AP111" s="91">
        <v>98520</v>
      </c>
      <c r="AQ111" s="276">
        <v>375000</v>
      </c>
      <c r="AR111" s="91"/>
      <c r="AS111" s="91">
        <v>37500</v>
      </c>
      <c r="AT111" s="91"/>
      <c r="AU111" s="91">
        <v>0</v>
      </c>
      <c r="AV111" s="91">
        <v>140000</v>
      </c>
      <c r="AW111" s="91">
        <v>0</v>
      </c>
      <c r="AX111" s="91"/>
      <c r="AY111" s="91"/>
      <c r="AZ111" s="277"/>
      <c r="BA111" s="91"/>
      <c r="BB111" s="91">
        <v>2063520</v>
      </c>
      <c r="BC111" s="91">
        <v>1551000</v>
      </c>
      <c r="BD111" s="91">
        <v>1577480</v>
      </c>
      <c r="BE111" s="301"/>
      <c r="BF111" s="278">
        <v>0</v>
      </c>
      <c r="BG111" s="278">
        <v>69790</v>
      </c>
      <c r="BH111" s="278">
        <v>54100</v>
      </c>
      <c r="BI111" s="278">
        <v>6230</v>
      </c>
      <c r="BJ111" s="278"/>
      <c r="BK111" s="278">
        <v>12610</v>
      </c>
      <c r="BL111" s="302"/>
      <c r="BM111" s="302">
        <v>0</v>
      </c>
      <c r="BN111" s="302"/>
      <c r="BO111" s="91"/>
      <c r="BP111" s="91"/>
      <c r="BQ111" s="91">
        <v>142730</v>
      </c>
      <c r="BR111" s="91">
        <v>1920790</v>
      </c>
      <c r="BS111" s="96">
        <v>1512783</v>
      </c>
      <c r="BT111" s="96">
        <v>1512783</v>
      </c>
      <c r="BW111" s="96">
        <v>69790</v>
      </c>
      <c r="BX111" s="96">
        <v>54100</v>
      </c>
      <c r="BY111" s="96">
        <v>6230</v>
      </c>
      <c r="CA111" s="96">
        <v>12610</v>
      </c>
      <c r="CB111" s="96">
        <v>13400</v>
      </c>
      <c r="CE111" s="96">
        <v>15770</v>
      </c>
      <c r="CF111" s="96">
        <v>171900</v>
      </c>
      <c r="CH111" s="96">
        <v>38620</v>
      </c>
      <c r="CI111" s="96">
        <v>38620</v>
      </c>
    </row>
    <row r="112" spans="1:87" s="96" customFormat="1" ht="15.95" customHeight="1">
      <c r="A112" s="266">
        <v>9</v>
      </c>
      <c r="B112" s="69"/>
      <c r="C112" s="69"/>
      <c r="D112" s="274"/>
      <c r="E112" s="275"/>
      <c r="F112" s="72" t="s">
        <v>207</v>
      </c>
      <c r="G112" s="69">
        <v>300</v>
      </c>
      <c r="H112" s="69" t="s">
        <v>276</v>
      </c>
      <c r="I112" s="74">
        <v>36564</v>
      </c>
      <c r="J112" s="74">
        <v>39356</v>
      </c>
      <c r="K112" s="81">
        <v>14</v>
      </c>
      <c r="L112" s="82">
        <v>5</v>
      </c>
      <c r="M112" s="83">
        <v>0</v>
      </c>
      <c r="N112" s="81">
        <v>21</v>
      </c>
      <c r="O112" s="82">
        <v>6</v>
      </c>
      <c r="P112" s="83">
        <v>24</v>
      </c>
      <c r="Q112" s="81">
        <v>3</v>
      </c>
      <c r="R112" s="82">
        <v>2</v>
      </c>
      <c r="S112" s="83">
        <v>29</v>
      </c>
      <c r="T112" s="84">
        <v>24</v>
      </c>
      <c r="U112" s="82">
        <v>9</v>
      </c>
      <c r="V112" s="83">
        <v>23</v>
      </c>
      <c r="W112" s="106"/>
      <c r="X112" s="74">
        <v>39356</v>
      </c>
      <c r="Y112" s="74" t="s">
        <v>205</v>
      </c>
      <c r="Z112" s="87"/>
      <c r="AA112" s="73">
        <v>44804</v>
      </c>
      <c r="AB112" s="73" t="s">
        <v>206</v>
      </c>
      <c r="AC112" s="73">
        <v>1840000</v>
      </c>
      <c r="AD112" s="91"/>
      <c r="AE112" s="91">
        <v>30</v>
      </c>
      <c r="AF112" s="91">
        <v>30</v>
      </c>
      <c r="AG112" s="91">
        <v>30</v>
      </c>
      <c r="AH112" s="91" t="s">
        <v>277</v>
      </c>
      <c r="AI112" s="303">
        <v>40</v>
      </c>
      <c r="AJ112" s="91">
        <v>1840000</v>
      </c>
      <c r="AK112" s="276"/>
      <c r="AL112" s="276"/>
      <c r="AM112" s="276"/>
      <c r="AN112" s="276"/>
      <c r="AO112" s="91">
        <v>700000</v>
      </c>
      <c r="AP112" s="91"/>
      <c r="AQ112" s="276">
        <v>600000</v>
      </c>
      <c r="AR112" s="91"/>
      <c r="AS112" s="91">
        <v>40000</v>
      </c>
      <c r="AT112" s="91"/>
      <c r="AU112" s="91">
        <v>50000</v>
      </c>
      <c r="AV112" s="91">
        <v>140000</v>
      </c>
      <c r="AW112" s="91">
        <v>0</v>
      </c>
      <c r="AX112" s="91"/>
      <c r="AY112" s="91"/>
      <c r="AZ112" s="277"/>
      <c r="BA112" s="277"/>
      <c r="BB112" s="91">
        <v>3370000</v>
      </c>
      <c r="BC112" s="91">
        <v>2363000</v>
      </c>
      <c r="BD112" s="91">
        <v>2403090</v>
      </c>
      <c r="BE112" s="301"/>
      <c r="BF112" s="278">
        <v>0</v>
      </c>
      <c r="BG112" s="278">
        <v>106330</v>
      </c>
      <c r="BH112" s="278">
        <v>82420</v>
      </c>
      <c r="BI112" s="278">
        <v>9490</v>
      </c>
      <c r="BJ112" s="278"/>
      <c r="BK112" s="278">
        <v>19050</v>
      </c>
      <c r="BL112" s="302"/>
      <c r="BM112" s="73">
        <v>900000</v>
      </c>
      <c r="BN112" s="302">
        <v>0</v>
      </c>
      <c r="BO112" s="91"/>
      <c r="BP112" s="91"/>
      <c r="BQ112" s="91">
        <v>1117290</v>
      </c>
      <c r="BR112" s="91">
        <v>2252710</v>
      </c>
      <c r="BS112" s="96">
        <v>2381250</v>
      </c>
      <c r="BT112" s="96">
        <v>2381250</v>
      </c>
      <c r="BW112" s="96">
        <v>106330</v>
      </c>
      <c r="BX112" s="96">
        <v>82420</v>
      </c>
      <c r="BY112" s="96">
        <v>9490</v>
      </c>
      <c r="CA112" s="96">
        <v>19050</v>
      </c>
      <c r="CB112" s="96">
        <v>20240</v>
      </c>
      <c r="CE112" s="96">
        <v>23810</v>
      </c>
      <c r="CF112" s="96">
        <v>261340</v>
      </c>
      <c r="CH112" s="96">
        <v>58340</v>
      </c>
      <c r="CI112" s="96">
        <v>58340</v>
      </c>
    </row>
    <row r="113" spans="1:87" s="96" customFormat="1" ht="15.95" customHeight="1">
      <c r="A113" s="266">
        <v>9</v>
      </c>
      <c r="B113" s="69"/>
      <c r="C113" s="69"/>
      <c r="D113" s="274"/>
      <c r="E113" s="275"/>
      <c r="F113" s="72" t="s">
        <v>207</v>
      </c>
      <c r="G113" s="69">
        <v>300</v>
      </c>
      <c r="H113" s="69" t="s">
        <v>276</v>
      </c>
      <c r="I113" s="74">
        <v>38777</v>
      </c>
      <c r="J113" s="74">
        <v>38777</v>
      </c>
      <c r="K113" s="81">
        <v>16</v>
      </c>
      <c r="L113" s="82">
        <v>0</v>
      </c>
      <c r="M113" s="83">
        <v>0</v>
      </c>
      <c r="N113" s="81">
        <v>15</v>
      </c>
      <c r="O113" s="82">
        <v>6</v>
      </c>
      <c r="P113" s="83">
        <v>1</v>
      </c>
      <c r="Q113" s="81">
        <v>2</v>
      </c>
      <c r="R113" s="82">
        <v>6</v>
      </c>
      <c r="S113" s="83">
        <v>13</v>
      </c>
      <c r="T113" s="84">
        <v>18</v>
      </c>
      <c r="U113" s="82">
        <v>0</v>
      </c>
      <c r="V113" s="83">
        <v>14</v>
      </c>
      <c r="W113" s="106"/>
      <c r="X113" s="74">
        <v>40087</v>
      </c>
      <c r="Y113" s="74" t="s">
        <v>205</v>
      </c>
      <c r="Z113" s="87"/>
      <c r="AA113" s="73">
        <v>45716</v>
      </c>
      <c r="AB113" s="73" t="s">
        <v>206</v>
      </c>
      <c r="AC113" s="73">
        <v>1840000</v>
      </c>
      <c r="AD113" s="91"/>
      <c r="AE113" s="91">
        <v>30</v>
      </c>
      <c r="AF113" s="91">
        <v>30</v>
      </c>
      <c r="AG113" s="91">
        <v>30</v>
      </c>
      <c r="AH113" s="305" t="s">
        <v>277</v>
      </c>
      <c r="AI113" s="303">
        <v>40</v>
      </c>
      <c r="AJ113" s="91">
        <v>1840000</v>
      </c>
      <c r="AK113" s="276"/>
      <c r="AL113" s="276"/>
      <c r="AM113" s="276"/>
      <c r="AN113" s="276"/>
      <c r="AO113" s="91">
        <v>630000</v>
      </c>
      <c r="AP113" s="91"/>
      <c r="AQ113" s="276">
        <v>600000</v>
      </c>
      <c r="AR113" s="91"/>
      <c r="AS113" s="91">
        <v>40000</v>
      </c>
      <c r="AT113" s="91"/>
      <c r="AU113" s="91">
        <v>50000</v>
      </c>
      <c r="AV113" s="91">
        <v>140000</v>
      </c>
      <c r="AW113" s="91">
        <v>0</v>
      </c>
      <c r="AX113" s="91"/>
      <c r="AY113" s="91"/>
      <c r="AZ113" s="277"/>
      <c r="BA113" s="277"/>
      <c r="BB113" s="91">
        <v>3300000</v>
      </c>
      <c r="BC113" s="91">
        <v>2474000</v>
      </c>
      <c r="BD113" s="91">
        <v>2515409</v>
      </c>
      <c r="BE113" s="301"/>
      <c r="BF113" s="278">
        <v>0</v>
      </c>
      <c r="BG113" s="278">
        <v>114380</v>
      </c>
      <c r="BH113" s="278">
        <v>84380</v>
      </c>
      <c r="BI113" s="278">
        <v>9720</v>
      </c>
      <c r="BJ113" s="278"/>
      <c r="BK113" s="278">
        <v>19680</v>
      </c>
      <c r="BL113" s="302"/>
      <c r="BM113" s="73">
        <v>900000</v>
      </c>
      <c r="BN113" s="302"/>
      <c r="BO113" s="91"/>
      <c r="BP113" s="91"/>
      <c r="BQ113" s="91">
        <v>1128160</v>
      </c>
      <c r="BR113" s="91">
        <v>2171840</v>
      </c>
      <c r="BS113" s="96">
        <v>2469240</v>
      </c>
      <c r="BT113" s="96">
        <v>2469240</v>
      </c>
      <c r="BW113" s="96">
        <v>103320</v>
      </c>
      <c r="BX113" s="96">
        <v>84380</v>
      </c>
      <c r="BY113" s="96">
        <v>9720</v>
      </c>
      <c r="CA113" s="96">
        <v>19680</v>
      </c>
      <c r="CB113" s="96">
        <v>20910</v>
      </c>
      <c r="CE113" s="96">
        <v>24600</v>
      </c>
      <c r="CF113" s="96">
        <v>262610</v>
      </c>
      <c r="CH113" s="96">
        <v>60270</v>
      </c>
      <c r="CI113" s="96">
        <v>60270</v>
      </c>
    </row>
    <row r="114" spans="1:87" s="96" customFormat="1" ht="15.95" customHeight="1">
      <c r="A114" s="266">
        <v>9</v>
      </c>
      <c r="B114" s="69"/>
      <c r="C114" s="69"/>
      <c r="D114" s="274"/>
      <c r="E114" s="275"/>
      <c r="F114" s="72" t="s">
        <v>207</v>
      </c>
      <c r="G114" s="69">
        <v>300</v>
      </c>
      <c r="H114" s="69" t="s">
        <v>204</v>
      </c>
      <c r="I114" s="74">
        <v>38022</v>
      </c>
      <c r="J114" s="74">
        <v>38047</v>
      </c>
      <c r="K114" s="81">
        <v>18</v>
      </c>
      <c r="L114" s="82">
        <v>0</v>
      </c>
      <c r="M114" s="83">
        <v>0</v>
      </c>
      <c r="N114" s="81">
        <v>17</v>
      </c>
      <c r="O114" s="82">
        <v>6</v>
      </c>
      <c r="P114" s="83">
        <v>27</v>
      </c>
      <c r="Q114" s="81">
        <v>6</v>
      </c>
      <c r="R114" s="82">
        <v>6</v>
      </c>
      <c r="S114" s="83">
        <v>25</v>
      </c>
      <c r="T114" s="84">
        <v>24</v>
      </c>
      <c r="U114" s="82">
        <v>1</v>
      </c>
      <c r="V114" s="83">
        <v>22</v>
      </c>
      <c r="W114" s="106"/>
      <c r="X114" s="74">
        <v>39356</v>
      </c>
      <c r="Y114" s="74" t="s">
        <v>205</v>
      </c>
      <c r="Z114" s="87"/>
      <c r="AA114" s="73">
        <v>45716</v>
      </c>
      <c r="AB114" s="73" t="s">
        <v>206</v>
      </c>
      <c r="AC114" s="73">
        <v>1840000</v>
      </c>
      <c r="AD114" s="91"/>
      <c r="AE114" s="91">
        <v>30</v>
      </c>
      <c r="AF114" s="91">
        <v>30</v>
      </c>
      <c r="AG114" s="91">
        <v>30</v>
      </c>
      <c r="AH114" s="91" t="s">
        <v>277</v>
      </c>
      <c r="AI114" s="303">
        <v>40</v>
      </c>
      <c r="AJ114" s="91">
        <v>1840000</v>
      </c>
      <c r="AK114" s="276"/>
      <c r="AL114" s="276"/>
      <c r="AM114" s="276"/>
      <c r="AN114" s="276"/>
      <c r="AO114" s="276">
        <v>700000</v>
      </c>
      <c r="AP114" s="91"/>
      <c r="AQ114" s="276">
        <v>600000</v>
      </c>
      <c r="AR114" s="91"/>
      <c r="AS114" s="91"/>
      <c r="AT114" s="91"/>
      <c r="AU114" s="91">
        <v>50000</v>
      </c>
      <c r="AV114" s="91">
        <v>140000</v>
      </c>
      <c r="AW114" s="91">
        <v>0</v>
      </c>
      <c r="AX114" s="91"/>
      <c r="AY114" s="91"/>
      <c r="AZ114" s="277"/>
      <c r="BA114" s="277"/>
      <c r="BB114" s="91">
        <v>3330000</v>
      </c>
      <c r="BC114" s="91">
        <v>0</v>
      </c>
      <c r="BD114" s="91">
        <v>2384000</v>
      </c>
      <c r="BE114" s="301"/>
      <c r="BF114" s="278">
        <v>0</v>
      </c>
      <c r="BG114" s="278">
        <v>115110</v>
      </c>
      <c r="BH114" s="278">
        <v>87190</v>
      </c>
      <c r="BI114" s="278">
        <v>10040</v>
      </c>
      <c r="BJ114" s="278"/>
      <c r="BK114" s="278">
        <v>20330</v>
      </c>
      <c r="BL114" s="302"/>
      <c r="BM114" s="73">
        <v>600000</v>
      </c>
      <c r="BN114" s="302"/>
      <c r="BO114" s="91"/>
      <c r="BP114" s="91"/>
      <c r="BQ114" s="91">
        <v>832670</v>
      </c>
      <c r="BR114" s="91">
        <v>2497330</v>
      </c>
      <c r="BS114" s="96">
        <v>2417475</v>
      </c>
      <c r="BT114" s="96">
        <v>2417475</v>
      </c>
      <c r="BW114" s="96">
        <v>109890</v>
      </c>
      <c r="BX114" s="96">
        <v>87190</v>
      </c>
      <c r="BY114" s="96">
        <v>10040</v>
      </c>
      <c r="CA114" s="96">
        <v>20330</v>
      </c>
      <c r="CB114" s="96">
        <v>21600</v>
      </c>
      <c r="CE114" s="96">
        <v>25420</v>
      </c>
      <c r="CF114" s="96">
        <v>274470</v>
      </c>
      <c r="CH114" s="96">
        <v>62260</v>
      </c>
      <c r="CI114" s="96">
        <v>62260</v>
      </c>
    </row>
    <row r="115" spans="1:87" s="96" customFormat="1" ht="15.95" customHeight="1">
      <c r="A115" s="266">
        <v>9</v>
      </c>
      <c r="B115" s="69"/>
      <c r="C115" s="69"/>
      <c r="D115" s="274"/>
      <c r="E115" s="275"/>
      <c r="F115" s="72" t="s">
        <v>207</v>
      </c>
      <c r="G115" s="69">
        <v>300</v>
      </c>
      <c r="H115" s="69" t="s">
        <v>204</v>
      </c>
      <c r="I115" s="74">
        <v>36564</v>
      </c>
      <c r="J115" s="74">
        <v>38047</v>
      </c>
      <c r="K115" s="81">
        <v>18</v>
      </c>
      <c r="L115" s="82">
        <v>0</v>
      </c>
      <c r="M115" s="83">
        <v>0</v>
      </c>
      <c r="N115" s="81">
        <v>21</v>
      </c>
      <c r="O115" s="82">
        <v>6</v>
      </c>
      <c r="P115" s="83">
        <v>24</v>
      </c>
      <c r="Q115" s="81"/>
      <c r="R115" s="82"/>
      <c r="S115" s="83"/>
      <c r="T115" s="84">
        <v>21</v>
      </c>
      <c r="U115" s="82">
        <v>6</v>
      </c>
      <c r="V115" s="83">
        <v>24</v>
      </c>
      <c r="W115" s="106"/>
      <c r="X115" s="74"/>
      <c r="Y115" s="74" t="s">
        <v>205</v>
      </c>
      <c r="Z115" s="87"/>
      <c r="AA115" s="73">
        <v>45900</v>
      </c>
      <c r="AB115" s="73" t="s">
        <v>206</v>
      </c>
      <c r="AC115" s="73">
        <v>1840000</v>
      </c>
      <c r="AD115" s="91"/>
      <c r="AE115" s="91">
        <v>30</v>
      </c>
      <c r="AF115" s="91">
        <v>30</v>
      </c>
      <c r="AG115" s="91">
        <v>30</v>
      </c>
      <c r="AH115" s="91" t="s">
        <v>277</v>
      </c>
      <c r="AI115" s="303">
        <v>40</v>
      </c>
      <c r="AJ115" s="91">
        <v>1840000</v>
      </c>
      <c r="AK115" s="276"/>
      <c r="AL115" s="276"/>
      <c r="AM115" s="276"/>
      <c r="AN115" s="276"/>
      <c r="AO115" s="276"/>
      <c r="AP115" s="91"/>
      <c r="AQ115" s="276"/>
      <c r="AR115" s="91"/>
      <c r="AS115" s="91"/>
      <c r="AT115" s="91"/>
      <c r="AU115" s="91"/>
      <c r="AV115" s="91"/>
      <c r="AW115" s="91">
        <v>0</v>
      </c>
      <c r="AX115" s="91"/>
      <c r="AY115" s="91"/>
      <c r="AZ115" s="277"/>
      <c r="BA115" s="277"/>
      <c r="BB115" s="91">
        <v>1840000</v>
      </c>
      <c r="BC115" s="91">
        <v>0</v>
      </c>
      <c r="BD115" s="91">
        <v>2384000</v>
      </c>
      <c r="BE115" s="301"/>
      <c r="BF115" s="278">
        <v>0</v>
      </c>
      <c r="BG115" s="278"/>
      <c r="BH115" s="278"/>
      <c r="BI115" s="278"/>
      <c r="BJ115" s="278">
        <v>93060</v>
      </c>
      <c r="BK115" s="278"/>
      <c r="BL115" s="302">
        <v>7510</v>
      </c>
      <c r="BM115" s="73"/>
      <c r="BN115" s="302">
        <v>21720</v>
      </c>
      <c r="BO115" s="91"/>
      <c r="BP115" s="91"/>
      <c r="BQ115" s="91">
        <v>122290</v>
      </c>
      <c r="BR115" s="91">
        <v>1717710</v>
      </c>
      <c r="BS115" s="96">
        <v>2417475</v>
      </c>
      <c r="BT115" s="96">
        <v>2417475</v>
      </c>
      <c r="BW115" s="96">
        <v>0</v>
      </c>
      <c r="BX115" s="96">
        <v>0</v>
      </c>
      <c r="BY115" s="96">
        <v>0</v>
      </c>
      <c r="BZ115" s="96">
        <v>93060</v>
      </c>
      <c r="CA115" s="96">
        <v>0</v>
      </c>
      <c r="CC115" s="96">
        <v>7510</v>
      </c>
      <c r="CD115" s="96">
        <v>44800</v>
      </c>
      <c r="CE115" s="96">
        <v>27140</v>
      </c>
      <c r="CF115" s="96">
        <v>172510</v>
      </c>
      <c r="CH115" s="96">
        <v>0</v>
      </c>
      <c r="CI115" s="96">
        <v>44800</v>
      </c>
    </row>
    <row r="116" spans="1:87" s="96" customFormat="1" ht="15.95" customHeight="1">
      <c r="A116" s="266">
        <v>9</v>
      </c>
      <c r="B116" s="69"/>
      <c r="C116" s="69"/>
      <c r="D116" s="274"/>
      <c r="E116" s="275"/>
      <c r="F116" s="72" t="s">
        <v>207</v>
      </c>
      <c r="G116" s="69">
        <v>300</v>
      </c>
      <c r="H116" s="69" t="s">
        <v>204</v>
      </c>
      <c r="I116" s="74">
        <v>36923</v>
      </c>
      <c r="J116" s="74">
        <v>38047</v>
      </c>
      <c r="K116" s="81">
        <v>18</v>
      </c>
      <c r="L116" s="82">
        <v>0</v>
      </c>
      <c r="M116" s="83">
        <v>0</v>
      </c>
      <c r="N116" s="81">
        <v>20</v>
      </c>
      <c r="O116" s="82">
        <v>7</v>
      </c>
      <c r="P116" s="83">
        <v>1</v>
      </c>
      <c r="Q116" s="81"/>
      <c r="R116" s="82"/>
      <c r="S116" s="83"/>
      <c r="T116" s="84">
        <v>20</v>
      </c>
      <c r="U116" s="82">
        <v>7</v>
      </c>
      <c r="V116" s="83">
        <v>1</v>
      </c>
      <c r="W116" s="106"/>
      <c r="X116" s="74"/>
      <c r="Y116" s="74" t="s">
        <v>205</v>
      </c>
      <c r="Z116" s="87"/>
      <c r="AA116" s="73">
        <v>48638</v>
      </c>
      <c r="AB116" s="73" t="s">
        <v>206</v>
      </c>
      <c r="AC116" s="73">
        <v>1840000</v>
      </c>
      <c r="AD116" s="91"/>
      <c r="AE116" s="91">
        <v>30</v>
      </c>
      <c r="AF116" s="91">
        <v>30</v>
      </c>
      <c r="AG116" s="91">
        <v>30</v>
      </c>
      <c r="AH116" s="91" t="s">
        <v>277</v>
      </c>
      <c r="AI116" s="303">
        <v>40</v>
      </c>
      <c r="AJ116" s="91">
        <v>1840000</v>
      </c>
      <c r="AK116" s="276"/>
      <c r="AL116" s="276"/>
      <c r="AM116" s="276"/>
      <c r="AN116" s="276"/>
      <c r="AO116" s="276"/>
      <c r="AP116" s="91"/>
      <c r="AQ116" s="276"/>
      <c r="AR116" s="91"/>
      <c r="AS116" s="91"/>
      <c r="AT116" s="91"/>
      <c r="AU116" s="91"/>
      <c r="AV116" s="91"/>
      <c r="AW116" s="91">
        <v>0</v>
      </c>
      <c r="AX116" s="91"/>
      <c r="AY116" s="91"/>
      <c r="AZ116" s="277"/>
      <c r="BA116" s="277"/>
      <c r="BB116" s="91">
        <v>1840000</v>
      </c>
      <c r="BC116" s="91">
        <v>0</v>
      </c>
      <c r="BD116" s="91">
        <v>2384000</v>
      </c>
      <c r="BE116" s="301"/>
      <c r="BF116" s="278">
        <v>0</v>
      </c>
      <c r="BG116" s="278"/>
      <c r="BH116" s="278"/>
      <c r="BI116" s="278"/>
      <c r="BJ116" s="278">
        <v>66270</v>
      </c>
      <c r="BK116" s="278"/>
      <c r="BL116" s="302">
        <v>7620</v>
      </c>
      <c r="BM116" s="302"/>
      <c r="BN116" s="302">
        <v>39430</v>
      </c>
      <c r="BO116" s="91"/>
      <c r="BP116" s="91"/>
      <c r="BQ116" s="91">
        <v>113320</v>
      </c>
      <c r="BR116" s="91">
        <v>1726680</v>
      </c>
      <c r="BS116" s="96">
        <v>2417475</v>
      </c>
      <c r="BT116" s="96">
        <v>2417475</v>
      </c>
      <c r="BW116" s="96">
        <v>0</v>
      </c>
      <c r="BX116" s="96">
        <v>0</v>
      </c>
      <c r="BY116" s="96">
        <v>0</v>
      </c>
      <c r="BZ116" s="96">
        <v>66270</v>
      </c>
      <c r="CA116" s="96">
        <v>0</v>
      </c>
      <c r="CC116" s="96">
        <v>7620</v>
      </c>
      <c r="CD116" s="96">
        <v>81310</v>
      </c>
      <c r="CE116" s="96">
        <v>49260</v>
      </c>
      <c r="CF116" s="96">
        <v>204460</v>
      </c>
      <c r="CH116" s="96">
        <v>0</v>
      </c>
      <c r="CI116" s="96">
        <v>81310</v>
      </c>
    </row>
    <row r="117" spans="1:87" s="96" customFormat="1" ht="15.95" customHeight="1">
      <c r="A117" s="266">
        <v>9</v>
      </c>
      <c r="B117" s="69"/>
      <c r="C117" s="69"/>
      <c r="D117" s="274"/>
      <c r="E117" s="275"/>
      <c r="F117" s="72" t="s">
        <v>207</v>
      </c>
      <c r="G117" s="69">
        <v>300</v>
      </c>
      <c r="H117" s="69" t="s">
        <v>276</v>
      </c>
      <c r="I117" s="74">
        <v>38018</v>
      </c>
      <c r="J117" s="74">
        <v>38047</v>
      </c>
      <c r="K117" s="81">
        <v>18</v>
      </c>
      <c r="L117" s="82">
        <v>0</v>
      </c>
      <c r="M117" s="83">
        <v>0</v>
      </c>
      <c r="N117" s="81">
        <v>17</v>
      </c>
      <c r="O117" s="82">
        <v>7</v>
      </c>
      <c r="P117" s="83">
        <v>1</v>
      </c>
      <c r="Q117" s="81">
        <v>8</v>
      </c>
      <c r="R117" s="82">
        <v>6</v>
      </c>
      <c r="S117" s="83">
        <v>14</v>
      </c>
      <c r="T117" s="84">
        <v>26</v>
      </c>
      <c r="U117" s="82">
        <v>1</v>
      </c>
      <c r="V117" s="83">
        <v>15</v>
      </c>
      <c r="W117" s="106"/>
      <c r="X117" s="74">
        <v>39356</v>
      </c>
      <c r="Y117" s="74" t="s">
        <v>205</v>
      </c>
      <c r="Z117" s="87"/>
      <c r="AA117" s="73">
        <v>45900</v>
      </c>
      <c r="AB117" s="73" t="s">
        <v>206</v>
      </c>
      <c r="AC117" s="73">
        <v>1840000</v>
      </c>
      <c r="AD117" s="91"/>
      <c r="AE117" s="91">
        <v>30</v>
      </c>
      <c r="AF117" s="91">
        <v>30</v>
      </c>
      <c r="AG117" s="91">
        <v>30</v>
      </c>
      <c r="AH117" s="91" t="s">
        <v>277</v>
      </c>
      <c r="AI117" s="303">
        <v>40</v>
      </c>
      <c r="AJ117" s="91">
        <v>1840000</v>
      </c>
      <c r="AK117" s="276"/>
      <c r="AL117" s="276"/>
      <c r="AM117" s="276"/>
      <c r="AN117" s="276"/>
      <c r="AO117" s="276">
        <v>700000</v>
      </c>
      <c r="AP117" s="91"/>
      <c r="AQ117" s="276">
        <v>600000</v>
      </c>
      <c r="AR117" s="91"/>
      <c r="AS117" s="91">
        <v>120000</v>
      </c>
      <c r="AT117" s="91"/>
      <c r="AU117" s="91">
        <v>50000</v>
      </c>
      <c r="AV117" s="91">
        <v>140000</v>
      </c>
      <c r="AW117" s="91">
        <v>0</v>
      </c>
      <c r="AX117" s="91"/>
      <c r="AY117" s="91"/>
      <c r="AZ117" s="277"/>
      <c r="BA117" s="277"/>
      <c r="BB117" s="91">
        <v>3450000</v>
      </c>
      <c r="BC117" s="91">
        <v>2431000</v>
      </c>
      <c r="BD117" s="91">
        <v>2472056</v>
      </c>
      <c r="BE117" s="301"/>
      <c r="BF117" s="278">
        <v>0</v>
      </c>
      <c r="BG117" s="278">
        <v>109390</v>
      </c>
      <c r="BH117" s="278">
        <v>84790</v>
      </c>
      <c r="BI117" s="278">
        <v>9760</v>
      </c>
      <c r="BJ117" s="278"/>
      <c r="BK117" s="278">
        <v>19770</v>
      </c>
      <c r="BL117" s="302"/>
      <c r="BM117" s="302">
        <v>600000</v>
      </c>
      <c r="BN117" s="302"/>
      <c r="BO117" s="91"/>
      <c r="BP117" s="91"/>
      <c r="BQ117" s="91">
        <v>823710</v>
      </c>
      <c r="BR117" s="91">
        <v>2626290</v>
      </c>
      <c r="BS117" s="96">
        <v>2601100</v>
      </c>
      <c r="BT117" s="96">
        <v>2601100</v>
      </c>
      <c r="BW117" s="96">
        <v>109390</v>
      </c>
      <c r="BX117" s="96">
        <v>84790</v>
      </c>
      <c r="BY117" s="96">
        <v>9760</v>
      </c>
      <c r="CA117" s="96">
        <v>19770</v>
      </c>
      <c r="CB117" s="96">
        <v>21010</v>
      </c>
      <c r="CE117" s="96">
        <v>24720</v>
      </c>
      <c r="CF117" s="96">
        <v>269440</v>
      </c>
      <c r="CH117" s="96">
        <v>60550</v>
      </c>
      <c r="CI117" s="96">
        <v>60550</v>
      </c>
    </row>
    <row r="118" spans="1:87" s="96" customFormat="1" ht="15.95" customHeight="1">
      <c r="A118" s="266">
        <v>9</v>
      </c>
      <c r="B118" s="69"/>
      <c r="C118" s="69"/>
      <c r="D118" s="274"/>
      <c r="E118" s="275"/>
      <c r="F118" s="72" t="s">
        <v>207</v>
      </c>
      <c r="G118" s="69">
        <v>365</v>
      </c>
      <c r="H118" s="69" t="s">
        <v>204</v>
      </c>
      <c r="I118" s="74">
        <v>42795</v>
      </c>
      <c r="J118" s="74">
        <v>43891</v>
      </c>
      <c r="K118" s="81">
        <v>2</v>
      </c>
      <c r="L118" s="82">
        <v>0</v>
      </c>
      <c r="M118" s="83">
        <v>0</v>
      </c>
      <c r="N118" s="81">
        <v>1</v>
      </c>
      <c r="O118" s="82">
        <v>6</v>
      </c>
      <c r="P118" s="83">
        <v>1</v>
      </c>
      <c r="Q118" s="81"/>
      <c r="R118" s="82"/>
      <c r="S118" s="83"/>
      <c r="T118" s="84">
        <v>1</v>
      </c>
      <c r="U118" s="82">
        <v>6</v>
      </c>
      <c r="V118" s="83">
        <v>1</v>
      </c>
      <c r="W118" s="106"/>
      <c r="X118" s="74">
        <v>43160</v>
      </c>
      <c r="Y118" s="74" t="s">
        <v>205</v>
      </c>
      <c r="Z118" s="87"/>
      <c r="AA118" s="73">
        <v>48638</v>
      </c>
      <c r="AB118" s="73" t="s">
        <v>274</v>
      </c>
      <c r="AC118" s="73">
        <v>920000</v>
      </c>
      <c r="AD118" s="91"/>
      <c r="AE118" s="91"/>
      <c r="AF118" s="91">
        <v>30</v>
      </c>
      <c r="AG118" s="91">
        <v>30</v>
      </c>
      <c r="AH118" s="91"/>
      <c r="AI118" s="303">
        <v>20</v>
      </c>
      <c r="AJ118" s="91">
        <v>920000</v>
      </c>
      <c r="AK118" s="276"/>
      <c r="AL118" s="276"/>
      <c r="AM118" s="276"/>
      <c r="AN118" s="276"/>
      <c r="AO118" s="276">
        <v>17500</v>
      </c>
      <c r="AP118" s="91">
        <v>62160</v>
      </c>
      <c r="AQ118" s="276">
        <v>300000</v>
      </c>
      <c r="AR118" s="91"/>
      <c r="AS118" s="91"/>
      <c r="AT118" s="91"/>
      <c r="AU118" s="91"/>
      <c r="AV118" s="91">
        <v>140000</v>
      </c>
      <c r="AW118" s="91">
        <v>0</v>
      </c>
      <c r="AX118" s="91"/>
      <c r="AY118" s="91"/>
      <c r="AZ118" s="277"/>
      <c r="BA118" s="277"/>
      <c r="BB118" s="91">
        <v>1439660</v>
      </c>
      <c r="BC118" s="91">
        <v>694000</v>
      </c>
      <c r="BD118" s="91">
        <v>706055</v>
      </c>
      <c r="BE118" s="301"/>
      <c r="BF118" s="278">
        <v>0</v>
      </c>
      <c r="BG118" s="278">
        <v>31230</v>
      </c>
      <c r="BH118" s="278">
        <v>24210</v>
      </c>
      <c r="BI118" s="278">
        <v>2780</v>
      </c>
      <c r="BJ118" s="278"/>
      <c r="BK118" s="278">
        <v>5640</v>
      </c>
      <c r="BL118" s="302"/>
      <c r="BM118" s="302"/>
      <c r="BN118" s="302"/>
      <c r="BO118" s="91"/>
      <c r="BP118" s="91"/>
      <c r="BQ118" s="91">
        <v>63860</v>
      </c>
      <c r="BR118" s="91">
        <v>1375800</v>
      </c>
      <c r="BS118" s="96">
        <v>860666</v>
      </c>
      <c r="BT118" s="96">
        <v>860666</v>
      </c>
      <c r="BW118" s="96">
        <v>31230</v>
      </c>
      <c r="BX118" s="96">
        <v>24210</v>
      </c>
      <c r="BY118" s="96">
        <v>2780</v>
      </c>
      <c r="CA118" s="96">
        <v>5640</v>
      </c>
      <c r="CB118" s="96">
        <v>6000</v>
      </c>
      <c r="CE118" s="96">
        <v>7060</v>
      </c>
      <c r="CF118" s="96">
        <v>76920</v>
      </c>
      <c r="CH118" s="96">
        <v>17280</v>
      </c>
      <c r="CI118" s="96">
        <v>17280</v>
      </c>
    </row>
    <row r="119" spans="1:87" s="96" customFormat="1" ht="15.95" customHeight="1">
      <c r="A119" s="266">
        <v>9</v>
      </c>
      <c r="B119" s="69"/>
      <c r="C119" s="69"/>
      <c r="D119" s="274"/>
      <c r="E119" s="275"/>
      <c r="F119" s="72" t="s">
        <v>207</v>
      </c>
      <c r="G119" s="69">
        <v>365</v>
      </c>
      <c r="H119" s="69" t="s">
        <v>204</v>
      </c>
      <c r="I119" s="74">
        <v>42795</v>
      </c>
      <c r="J119" s="74">
        <v>43891</v>
      </c>
      <c r="K119" s="81">
        <v>2</v>
      </c>
      <c r="L119" s="82">
        <v>0</v>
      </c>
      <c r="M119" s="83">
        <v>0</v>
      </c>
      <c r="N119" s="81">
        <v>1</v>
      </c>
      <c r="O119" s="82">
        <v>6</v>
      </c>
      <c r="P119" s="83">
        <v>1</v>
      </c>
      <c r="Q119" s="81"/>
      <c r="R119" s="82"/>
      <c r="S119" s="83"/>
      <c r="T119" s="84">
        <v>1</v>
      </c>
      <c r="U119" s="82">
        <v>6</v>
      </c>
      <c r="V119" s="83">
        <v>1</v>
      </c>
      <c r="W119" s="106"/>
      <c r="X119" s="74">
        <v>43160</v>
      </c>
      <c r="Y119" s="74" t="s">
        <v>205</v>
      </c>
      <c r="Z119" s="87"/>
      <c r="AA119" s="73">
        <v>48091</v>
      </c>
      <c r="AB119" s="73" t="s">
        <v>274</v>
      </c>
      <c r="AC119" s="73">
        <v>920000</v>
      </c>
      <c r="AD119" s="91"/>
      <c r="AE119" s="91"/>
      <c r="AF119" s="91">
        <v>30</v>
      </c>
      <c r="AG119" s="91">
        <v>30</v>
      </c>
      <c r="AH119" s="91"/>
      <c r="AI119" s="303">
        <v>20</v>
      </c>
      <c r="AJ119" s="91">
        <v>920000</v>
      </c>
      <c r="AK119" s="276"/>
      <c r="AL119" s="276"/>
      <c r="AM119" s="276"/>
      <c r="AN119" s="276"/>
      <c r="AO119" s="276">
        <v>17500</v>
      </c>
      <c r="AP119" s="91"/>
      <c r="AQ119" s="276">
        <v>300000</v>
      </c>
      <c r="AR119" s="91"/>
      <c r="AS119" s="91">
        <v>20000</v>
      </c>
      <c r="AT119" s="91"/>
      <c r="AU119" s="91"/>
      <c r="AV119" s="91">
        <v>140000</v>
      </c>
      <c r="AW119" s="91">
        <v>0</v>
      </c>
      <c r="AX119" s="91"/>
      <c r="AY119" s="91"/>
      <c r="AZ119" s="277"/>
      <c r="BA119" s="277"/>
      <c r="BB119" s="91">
        <v>1397500</v>
      </c>
      <c r="BC119" s="91">
        <v>720000</v>
      </c>
      <c r="BD119" s="91">
        <v>732315</v>
      </c>
      <c r="BE119" s="301"/>
      <c r="BF119" s="278">
        <v>0</v>
      </c>
      <c r="BG119" s="278">
        <v>32400</v>
      </c>
      <c r="BH119" s="278">
        <v>25110</v>
      </c>
      <c r="BI119" s="278">
        <v>2890</v>
      </c>
      <c r="BJ119" s="278"/>
      <c r="BK119" s="278">
        <v>5850</v>
      </c>
      <c r="BL119" s="302"/>
      <c r="BM119" s="302"/>
      <c r="BN119" s="302"/>
      <c r="BO119" s="91"/>
      <c r="BP119" s="91"/>
      <c r="BQ119" s="91">
        <v>66250</v>
      </c>
      <c r="BR119" s="91">
        <v>1331250</v>
      </c>
      <c r="BS119" s="96">
        <v>873416</v>
      </c>
      <c r="BT119" s="96">
        <v>873416</v>
      </c>
      <c r="BW119" s="96">
        <v>32400</v>
      </c>
      <c r="BX119" s="96">
        <v>25110</v>
      </c>
      <c r="BY119" s="96">
        <v>2890</v>
      </c>
      <c r="CA119" s="96">
        <v>5850</v>
      </c>
      <c r="CB119" s="96">
        <v>6220</v>
      </c>
      <c r="CE119" s="96">
        <v>7320</v>
      </c>
      <c r="CF119" s="96">
        <v>79790</v>
      </c>
      <c r="CH119" s="96">
        <v>17920</v>
      </c>
      <c r="CI119" s="96">
        <v>17920</v>
      </c>
    </row>
    <row r="120" spans="1:87" s="96" customFormat="1" ht="15.95" customHeight="1">
      <c r="A120" s="266">
        <v>9</v>
      </c>
      <c r="B120" s="69"/>
      <c r="C120" s="69"/>
      <c r="D120" s="274"/>
      <c r="E120" s="275"/>
      <c r="F120" s="72" t="s">
        <v>272</v>
      </c>
      <c r="G120" s="69">
        <v>300</v>
      </c>
      <c r="H120" s="69"/>
      <c r="I120" s="74">
        <v>43891</v>
      </c>
      <c r="J120" s="74"/>
      <c r="K120" s="81" t="s">
        <v>278</v>
      </c>
      <c r="L120" s="82" t="s">
        <v>278</v>
      </c>
      <c r="M120" s="83" t="s">
        <v>278</v>
      </c>
      <c r="N120" s="81" t="s">
        <v>278</v>
      </c>
      <c r="O120" s="82" t="s">
        <v>278</v>
      </c>
      <c r="P120" s="83" t="s">
        <v>278</v>
      </c>
      <c r="Q120" s="81"/>
      <c r="R120" s="82"/>
      <c r="S120" s="83"/>
      <c r="T120" s="84">
        <v>0</v>
      </c>
      <c r="U120" s="82">
        <v>0</v>
      </c>
      <c r="V120" s="83">
        <v>0</v>
      </c>
      <c r="W120" s="106" t="s">
        <v>213</v>
      </c>
      <c r="X120" s="74"/>
      <c r="Y120" s="74" t="s">
        <v>205</v>
      </c>
      <c r="Z120" s="87"/>
      <c r="AA120" s="73" t="s">
        <v>279</v>
      </c>
      <c r="AB120" s="73" t="s">
        <v>274</v>
      </c>
      <c r="AC120" s="73">
        <v>2039000</v>
      </c>
      <c r="AD120" s="91"/>
      <c r="AE120" s="91"/>
      <c r="AF120" s="91">
        <v>30</v>
      </c>
      <c r="AG120" s="91">
        <v>30</v>
      </c>
      <c r="AH120" s="91"/>
      <c r="AI120" s="303">
        <v>20</v>
      </c>
      <c r="AJ120" s="91">
        <v>1069500</v>
      </c>
      <c r="AK120" s="276"/>
      <c r="AL120" s="276"/>
      <c r="AM120" s="276">
        <v>125000</v>
      </c>
      <c r="AN120" s="276">
        <v>35000</v>
      </c>
      <c r="AO120" s="276">
        <v>0</v>
      </c>
      <c r="AP120" s="91"/>
      <c r="AQ120" s="276"/>
      <c r="AR120" s="91"/>
      <c r="AS120" s="91">
        <v>70000</v>
      </c>
      <c r="AT120" s="91"/>
      <c r="AU120" s="91"/>
      <c r="AV120" s="91">
        <v>70000</v>
      </c>
      <c r="AW120" s="91"/>
      <c r="AX120" s="91"/>
      <c r="AY120" s="91"/>
      <c r="AZ120" s="277"/>
      <c r="BA120" s="277"/>
      <c r="BB120" s="91">
        <v>1369500</v>
      </c>
      <c r="BC120" s="91">
        <v>1206000</v>
      </c>
      <c r="BD120" s="91">
        <v>1226479</v>
      </c>
      <c r="BE120" s="301"/>
      <c r="BF120" s="278">
        <v>0</v>
      </c>
      <c r="BG120" s="278">
        <v>54270</v>
      </c>
      <c r="BH120" s="278">
        <v>42060</v>
      </c>
      <c r="BI120" s="278">
        <v>4840</v>
      </c>
      <c r="BJ120" s="278"/>
      <c r="BK120" s="278">
        <v>11770</v>
      </c>
      <c r="BL120" s="302"/>
      <c r="BM120" s="302"/>
      <c r="BN120" s="302"/>
      <c r="BO120" s="91"/>
      <c r="BP120" s="91"/>
      <c r="BQ120" s="91">
        <v>112940</v>
      </c>
      <c r="BR120" s="91">
        <v>1256560</v>
      </c>
      <c r="BS120" s="96">
        <v>1471775</v>
      </c>
      <c r="BT120" s="96">
        <v>1471775</v>
      </c>
      <c r="BW120" s="96">
        <v>54270</v>
      </c>
      <c r="BX120" s="96">
        <v>42060</v>
      </c>
      <c r="BY120" s="96">
        <v>4840</v>
      </c>
      <c r="CA120" s="96">
        <v>11770</v>
      </c>
      <c r="CB120" s="96">
        <v>12510</v>
      </c>
      <c r="CE120" s="96">
        <v>14710</v>
      </c>
      <c r="CF120" s="96">
        <v>140160</v>
      </c>
      <c r="CH120" s="96">
        <v>36050</v>
      </c>
      <c r="CI120" s="96">
        <v>36050</v>
      </c>
    </row>
    <row r="121" spans="1:87" s="96" customFormat="1" ht="15.95" customHeight="1">
      <c r="A121" s="266">
        <v>9</v>
      </c>
      <c r="B121" s="69"/>
      <c r="C121" s="69"/>
      <c r="D121" s="274"/>
      <c r="E121" s="275"/>
      <c r="F121" s="72" t="s">
        <v>203</v>
      </c>
      <c r="G121" s="69">
        <v>365</v>
      </c>
      <c r="H121" s="69"/>
      <c r="I121" s="74">
        <v>44256</v>
      </c>
      <c r="J121" s="74"/>
      <c r="K121" s="81" t="s">
        <v>278</v>
      </c>
      <c r="L121" s="82" t="s">
        <v>278</v>
      </c>
      <c r="M121" s="83" t="s">
        <v>278</v>
      </c>
      <c r="N121" s="81" t="s">
        <v>278</v>
      </c>
      <c r="O121" s="82" t="s">
        <v>278</v>
      </c>
      <c r="P121" s="83" t="s">
        <v>278</v>
      </c>
      <c r="Q121" s="81"/>
      <c r="R121" s="82"/>
      <c r="S121" s="83"/>
      <c r="T121" s="84">
        <v>0</v>
      </c>
      <c r="U121" s="82">
        <v>0</v>
      </c>
      <c r="V121" s="83">
        <v>0</v>
      </c>
      <c r="W121" s="106" t="s">
        <v>213</v>
      </c>
      <c r="X121" s="74"/>
      <c r="Y121" s="74" t="s">
        <v>205</v>
      </c>
      <c r="Z121" s="87"/>
      <c r="AA121" s="73"/>
      <c r="AB121" s="73" t="s">
        <v>280</v>
      </c>
      <c r="AC121" s="73">
        <v>2200000</v>
      </c>
      <c r="AD121" s="91"/>
      <c r="AE121" s="91"/>
      <c r="AF121" s="91">
        <v>30</v>
      </c>
      <c r="AG121" s="91">
        <v>30</v>
      </c>
      <c r="AH121" s="91"/>
      <c r="AI121" s="276">
        <v>40</v>
      </c>
      <c r="AJ121" s="91">
        <v>2200000</v>
      </c>
      <c r="AK121" s="276">
        <v>100000</v>
      </c>
      <c r="AL121" s="276"/>
      <c r="AM121" s="276"/>
      <c r="AN121" s="276"/>
      <c r="AO121" s="276">
        <v>0</v>
      </c>
      <c r="AP121" s="91">
        <v>0</v>
      </c>
      <c r="AQ121" s="276"/>
      <c r="AR121" s="91"/>
      <c r="AS121" s="91"/>
      <c r="AT121" s="91"/>
      <c r="AU121" s="91"/>
      <c r="AV121" s="91"/>
      <c r="AW121" s="91"/>
      <c r="AX121" s="91">
        <v>0</v>
      </c>
      <c r="AY121" s="91"/>
      <c r="AZ121" s="277"/>
      <c r="BA121" s="91"/>
      <c r="BB121" s="91">
        <v>2300000</v>
      </c>
      <c r="BC121" s="91">
        <v>2300000</v>
      </c>
      <c r="BD121" s="91">
        <v>2541660</v>
      </c>
      <c r="BE121" s="301"/>
      <c r="BF121" s="278"/>
      <c r="BG121" s="278">
        <v>114340</v>
      </c>
      <c r="BH121" s="278">
        <v>87170</v>
      </c>
      <c r="BI121" s="278">
        <v>10040</v>
      </c>
      <c r="BJ121" s="278"/>
      <c r="BK121" s="278"/>
      <c r="BL121" s="302"/>
      <c r="BM121" s="302"/>
      <c r="BN121" s="302"/>
      <c r="BO121" s="91"/>
      <c r="BP121" s="91"/>
      <c r="BQ121" s="91">
        <v>211550</v>
      </c>
      <c r="BR121" s="91">
        <v>2088450</v>
      </c>
      <c r="BS121" s="96">
        <v>2300000</v>
      </c>
      <c r="BT121" s="96">
        <v>2300000</v>
      </c>
      <c r="BW121" s="96">
        <v>114340</v>
      </c>
      <c r="BX121" s="96">
        <v>87170</v>
      </c>
      <c r="BY121" s="96">
        <v>10040</v>
      </c>
      <c r="BZ121" s="96">
        <v>0</v>
      </c>
      <c r="CA121" s="96">
        <v>0</v>
      </c>
      <c r="CC121" s="96">
        <v>0</v>
      </c>
      <c r="CE121" s="96">
        <v>25410</v>
      </c>
      <c r="CF121" s="96">
        <v>236960</v>
      </c>
      <c r="CH121" s="96">
        <v>0</v>
      </c>
      <c r="CI121" s="96">
        <v>0</v>
      </c>
    </row>
    <row r="122" spans="1:87" s="96" customFormat="1" ht="15.95" customHeight="1">
      <c r="A122" s="266">
        <v>9</v>
      </c>
      <c r="B122" s="69"/>
      <c r="C122" s="69"/>
      <c r="D122" s="274"/>
      <c r="E122" s="275"/>
      <c r="F122" s="72" t="s">
        <v>272</v>
      </c>
      <c r="G122" s="69">
        <v>365</v>
      </c>
      <c r="H122" s="69"/>
      <c r="I122" s="74"/>
      <c r="J122" s="74"/>
      <c r="K122" s="81"/>
      <c r="L122" s="82"/>
      <c r="M122" s="83"/>
      <c r="N122" s="81"/>
      <c r="O122" s="82"/>
      <c r="P122" s="83"/>
      <c r="Q122" s="81"/>
      <c r="R122" s="82"/>
      <c r="S122" s="83"/>
      <c r="T122" s="84"/>
      <c r="U122" s="82"/>
      <c r="V122" s="83"/>
      <c r="W122" s="106" t="s">
        <v>213</v>
      </c>
      <c r="X122" s="74"/>
      <c r="Y122" s="74" t="s">
        <v>205</v>
      </c>
      <c r="Z122" s="87"/>
      <c r="AA122" s="73" t="s">
        <v>279</v>
      </c>
      <c r="AB122" s="73" t="s">
        <v>281</v>
      </c>
      <c r="AC122" s="73">
        <v>600000</v>
      </c>
      <c r="AD122" s="91"/>
      <c r="AE122" s="91"/>
      <c r="AF122" s="91">
        <v>30</v>
      </c>
      <c r="AG122" s="91">
        <v>30</v>
      </c>
      <c r="AH122" s="91"/>
      <c r="AI122" s="276">
        <v>14</v>
      </c>
      <c r="AJ122" s="91">
        <v>600000</v>
      </c>
      <c r="AK122" s="276"/>
      <c r="AL122" s="276"/>
      <c r="AM122" s="276"/>
      <c r="AN122" s="276"/>
      <c r="AO122" s="276"/>
      <c r="AP122" s="91"/>
      <c r="AQ122" s="276"/>
      <c r="AR122" s="91"/>
      <c r="AS122" s="91"/>
      <c r="AT122" s="91"/>
      <c r="AU122" s="91"/>
      <c r="AV122" s="91"/>
      <c r="AW122" s="91"/>
      <c r="AX122" s="91"/>
      <c r="AY122" s="91"/>
      <c r="AZ122" s="277"/>
      <c r="BA122" s="91"/>
      <c r="BB122" s="91">
        <v>600000</v>
      </c>
      <c r="BC122" s="91"/>
      <c r="BD122" s="91"/>
      <c r="BE122" s="301"/>
      <c r="BF122" s="278">
        <v>0</v>
      </c>
      <c r="BG122" s="278"/>
      <c r="BH122" s="278"/>
      <c r="BI122" s="278"/>
      <c r="BJ122" s="278"/>
      <c r="BK122" s="278">
        <v>0</v>
      </c>
      <c r="BL122" s="302"/>
      <c r="BM122" s="302"/>
      <c r="BN122" s="302"/>
      <c r="BO122" s="91"/>
      <c r="BP122" s="91"/>
      <c r="BQ122" s="91">
        <v>0</v>
      </c>
      <c r="BR122" s="91">
        <v>600000</v>
      </c>
      <c r="BS122" s="96">
        <v>562916</v>
      </c>
      <c r="BT122" s="96">
        <v>562916</v>
      </c>
      <c r="BZ122" s="96">
        <v>0</v>
      </c>
      <c r="CB122" s="96">
        <v>4760</v>
      </c>
      <c r="CC122" s="96">
        <v>0</v>
      </c>
      <c r="CE122" s="96">
        <v>5600</v>
      </c>
      <c r="CF122" s="96">
        <v>10360</v>
      </c>
      <c r="CH122" s="96">
        <v>4760</v>
      </c>
      <c r="CI122" s="96">
        <v>4760</v>
      </c>
    </row>
    <row r="123" spans="1:87" s="96" customFormat="1" ht="15.95" customHeight="1">
      <c r="A123" s="266">
        <v>9</v>
      </c>
      <c r="B123" s="69"/>
      <c r="C123" s="69"/>
      <c r="D123" s="274"/>
      <c r="E123" s="275"/>
      <c r="F123" s="72" t="s">
        <v>271</v>
      </c>
      <c r="G123" s="69"/>
      <c r="H123" s="69"/>
      <c r="I123" s="74">
        <v>44307</v>
      </c>
      <c r="J123" s="74"/>
      <c r="K123" s="81"/>
      <c r="L123" s="82"/>
      <c r="M123" s="83"/>
      <c r="N123" s="81"/>
      <c r="O123" s="82"/>
      <c r="P123" s="83"/>
      <c r="Q123" s="81"/>
      <c r="R123" s="82"/>
      <c r="S123" s="83"/>
      <c r="T123" s="84"/>
      <c r="U123" s="82"/>
      <c r="V123" s="83"/>
      <c r="W123" s="106" t="s">
        <v>213</v>
      </c>
      <c r="X123" s="74"/>
      <c r="Y123" s="74" t="s">
        <v>205</v>
      </c>
      <c r="Z123" s="87"/>
      <c r="AA123" s="73"/>
      <c r="AB123" s="73" t="s">
        <v>282</v>
      </c>
      <c r="AC123" s="73">
        <v>1225000</v>
      </c>
      <c r="AD123" s="91"/>
      <c r="AE123" s="91"/>
      <c r="AF123" s="91"/>
      <c r="AG123" s="91"/>
      <c r="AH123" s="91"/>
      <c r="AI123" s="276">
        <v>13.5</v>
      </c>
      <c r="AJ123" s="91">
        <v>1225000</v>
      </c>
      <c r="AK123" s="276"/>
      <c r="AL123" s="276"/>
      <c r="AM123" s="276"/>
      <c r="AN123" s="276"/>
      <c r="AO123" s="276"/>
      <c r="AP123" s="91"/>
      <c r="AQ123" s="276"/>
      <c r="AR123" s="91"/>
      <c r="AS123" s="91"/>
      <c r="AT123" s="91"/>
      <c r="AU123" s="91"/>
      <c r="AV123" s="91"/>
      <c r="AW123" s="91"/>
      <c r="AX123" s="91"/>
      <c r="AY123" s="91"/>
      <c r="AZ123" s="277"/>
      <c r="BA123" s="91"/>
      <c r="BB123" s="91">
        <v>1225000</v>
      </c>
      <c r="BC123" s="91"/>
      <c r="BD123" s="91"/>
      <c r="BE123" s="301"/>
      <c r="BF123" s="278"/>
      <c r="BG123" s="278"/>
      <c r="BH123" s="278"/>
      <c r="BI123" s="278"/>
      <c r="BJ123" s="278"/>
      <c r="BK123" s="278">
        <v>10800</v>
      </c>
      <c r="BL123" s="302"/>
      <c r="BM123" s="302"/>
      <c r="BN123" s="302"/>
      <c r="BO123" s="91"/>
      <c r="BP123" s="91"/>
      <c r="BQ123" s="91">
        <v>10800</v>
      </c>
      <c r="BR123" s="91">
        <v>1214200</v>
      </c>
      <c r="CA123" s="96">
        <v>10800</v>
      </c>
      <c r="CB123" s="96">
        <v>11470</v>
      </c>
      <c r="CE123" s="96">
        <v>13500</v>
      </c>
      <c r="CH123" s="96">
        <v>33070</v>
      </c>
      <c r="CI123" s="96">
        <v>33070</v>
      </c>
    </row>
    <row r="124" spans="1:87" s="439" customFormat="1" ht="15.95" customHeight="1">
      <c r="A124" s="428">
        <v>10</v>
      </c>
      <c r="B124" s="429"/>
      <c r="C124" s="429"/>
      <c r="D124" s="429"/>
      <c r="E124" s="357"/>
      <c r="F124" s="430" t="s">
        <v>272</v>
      </c>
      <c r="G124" s="429">
        <v>365</v>
      </c>
      <c r="H124" s="429" t="s">
        <v>204</v>
      </c>
      <c r="I124" s="429">
        <v>43374</v>
      </c>
      <c r="J124" s="429">
        <v>43374</v>
      </c>
      <c r="K124" s="431">
        <v>3</v>
      </c>
      <c r="L124" s="431">
        <v>5</v>
      </c>
      <c r="M124" s="431">
        <v>0</v>
      </c>
      <c r="N124" s="431">
        <v>2</v>
      </c>
      <c r="O124" s="431">
        <v>11</v>
      </c>
      <c r="P124" s="431">
        <v>1</v>
      </c>
      <c r="Q124" s="431"/>
      <c r="R124" s="431"/>
      <c r="S124" s="431"/>
      <c r="T124" s="431">
        <v>2</v>
      </c>
      <c r="U124" s="431">
        <v>11</v>
      </c>
      <c r="V124" s="431">
        <v>1</v>
      </c>
      <c r="W124" s="432"/>
      <c r="X124" s="429">
        <v>43374</v>
      </c>
      <c r="Y124" s="429" t="s">
        <v>205</v>
      </c>
      <c r="Z124" s="292"/>
      <c r="AA124" s="292">
        <v>44439</v>
      </c>
      <c r="AB124" s="292" t="s">
        <v>273</v>
      </c>
      <c r="AC124" s="292">
        <v>1840000</v>
      </c>
      <c r="AD124" s="433"/>
      <c r="AE124" s="433"/>
      <c r="AF124" s="433">
        <v>31</v>
      </c>
      <c r="AG124" s="433">
        <v>31</v>
      </c>
      <c r="AH124" s="433"/>
      <c r="AI124" s="434">
        <v>27.5</v>
      </c>
      <c r="AJ124" s="454">
        <v>1265000</v>
      </c>
      <c r="AK124" s="455"/>
      <c r="AL124" s="455"/>
      <c r="AM124" s="455"/>
      <c r="AN124" s="455"/>
      <c r="AO124" s="455"/>
      <c r="AP124" s="454"/>
      <c r="AQ124" s="455"/>
      <c r="AR124" s="455"/>
      <c r="AS124" s="454"/>
      <c r="AT124" s="454">
        <v>0</v>
      </c>
      <c r="AU124" s="454"/>
      <c r="AV124" s="454">
        <v>140000</v>
      </c>
      <c r="AW124" s="454"/>
      <c r="AX124" s="456"/>
      <c r="AY124" s="457"/>
      <c r="AZ124" s="457"/>
      <c r="BA124" s="457"/>
      <c r="BB124" s="458">
        <v>1405000</v>
      </c>
      <c r="BC124" s="459"/>
      <c r="BD124" s="457">
        <v>1381675</v>
      </c>
      <c r="BE124" s="457"/>
      <c r="BF124" s="457">
        <v>0</v>
      </c>
      <c r="BG124" s="457">
        <v>0</v>
      </c>
      <c r="BH124" s="464">
        <v>47390</v>
      </c>
      <c r="BI124" s="465">
        <v>5450</v>
      </c>
      <c r="BJ124" s="465"/>
      <c r="BK124" s="465">
        <v>11050</v>
      </c>
      <c r="BL124" s="466"/>
      <c r="BM124" s="466"/>
      <c r="BN124" s="466"/>
      <c r="BO124" s="454"/>
      <c r="BP124" s="454"/>
      <c r="BQ124" s="454">
        <v>63890</v>
      </c>
      <c r="BR124" s="454">
        <v>1341110</v>
      </c>
      <c r="BS124" s="439">
        <v>1251341</v>
      </c>
      <c r="BT124" s="439">
        <v>1251341</v>
      </c>
      <c r="BW124" s="439">
        <v>0</v>
      </c>
      <c r="BX124" s="439">
        <v>47390</v>
      </c>
      <c r="BY124" s="439">
        <v>5450</v>
      </c>
      <c r="CA124" s="439">
        <v>11050</v>
      </c>
      <c r="CB124" s="439">
        <v>11740</v>
      </c>
      <c r="CE124" s="439">
        <v>13810</v>
      </c>
      <c r="CF124" s="439">
        <v>89440</v>
      </c>
      <c r="CH124" s="439">
        <v>33840</v>
      </c>
      <c r="CI124" s="439">
        <v>33840</v>
      </c>
    </row>
    <row r="125" spans="1:87" s="439" customFormat="1" ht="15.95" customHeight="1">
      <c r="A125" s="428">
        <v>10</v>
      </c>
      <c r="B125" s="429"/>
      <c r="C125" s="429"/>
      <c r="D125" s="429"/>
      <c r="E125" s="357"/>
      <c r="F125" s="430" t="s">
        <v>272</v>
      </c>
      <c r="G125" s="429">
        <v>365</v>
      </c>
      <c r="H125" s="429" t="s">
        <v>204</v>
      </c>
      <c r="I125" s="429">
        <v>41701</v>
      </c>
      <c r="J125" s="429">
        <v>43160</v>
      </c>
      <c r="K125" s="431">
        <v>4</v>
      </c>
      <c r="L125" s="431">
        <v>0</v>
      </c>
      <c r="M125" s="431">
        <v>0</v>
      </c>
      <c r="N125" s="431">
        <v>3</v>
      </c>
      <c r="O125" s="431">
        <v>6</v>
      </c>
      <c r="P125" s="431">
        <v>1</v>
      </c>
      <c r="Q125" s="431"/>
      <c r="R125" s="431"/>
      <c r="S125" s="431"/>
      <c r="T125" s="431">
        <v>3</v>
      </c>
      <c r="U125" s="431">
        <v>6</v>
      </c>
      <c r="V125" s="431">
        <v>1</v>
      </c>
      <c r="W125" s="432"/>
      <c r="X125" s="429">
        <v>43160</v>
      </c>
      <c r="Y125" s="429" t="s">
        <v>205</v>
      </c>
      <c r="Z125" s="292"/>
      <c r="AA125" s="292">
        <v>49368</v>
      </c>
      <c r="AB125" s="292" t="s">
        <v>274</v>
      </c>
      <c r="AC125" s="292">
        <v>1840000</v>
      </c>
      <c r="AD125" s="433"/>
      <c r="AE125" s="433"/>
      <c r="AF125" s="433">
        <v>31</v>
      </c>
      <c r="AG125" s="433">
        <v>31</v>
      </c>
      <c r="AH125" s="433"/>
      <c r="AI125" s="434">
        <v>20</v>
      </c>
      <c r="AJ125" s="454">
        <v>920000</v>
      </c>
      <c r="AK125" s="455"/>
      <c r="AL125" s="455"/>
      <c r="AM125" s="455"/>
      <c r="AN125" s="455"/>
      <c r="AO125" s="455">
        <v>52500</v>
      </c>
      <c r="AP125" s="454"/>
      <c r="AQ125" s="455"/>
      <c r="AR125" s="455"/>
      <c r="AS125" s="454">
        <v>30000</v>
      </c>
      <c r="AT125" s="454"/>
      <c r="AU125" s="454"/>
      <c r="AV125" s="454">
        <v>140000</v>
      </c>
      <c r="AW125" s="454">
        <v>0</v>
      </c>
      <c r="AX125" s="456"/>
      <c r="AY125" s="457"/>
      <c r="AZ125" s="457"/>
      <c r="BA125" s="457"/>
      <c r="BB125" s="458">
        <v>1142500</v>
      </c>
      <c r="BC125" s="459">
        <v>1101000</v>
      </c>
      <c r="BD125" s="457">
        <v>1119840</v>
      </c>
      <c r="BE125" s="457"/>
      <c r="BF125" s="457">
        <v>0</v>
      </c>
      <c r="BG125" s="457">
        <v>49540</v>
      </c>
      <c r="BH125" s="464">
        <v>38410</v>
      </c>
      <c r="BI125" s="465">
        <v>4420</v>
      </c>
      <c r="BJ125" s="465"/>
      <c r="BK125" s="465">
        <v>8950</v>
      </c>
      <c r="BL125" s="466"/>
      <c r="BM125" s="466">
        <v>0</v>
      </c>
      <c r="BN125" s="466"/>
      <c r="BO125" s="454"/>
      <c r="BP125" s="454"/>
      <c r="BQ125" s="454">
        <v>101320</v>
      </c>
      <c r="BR125" s="454">
        <v>1041180</v>
      </c>
      <c r="BS125" s="439">
        <v>1012061</v>
      </c>
      <c r="BT125" s="439">
        <v>1012061</v>
      </c>
      <c r="BW125" s="439">
        <v>49340</v>
      </c>
      <c r="BX125" s="439">
        <v>38410</v>
      </c>
      <c r="BY125" s="439">
        <v>4420</v>
      </c>
      <c r="CA125" s="439">
        <v>8950</v>
      </c>
      <c r="CB125" s="439">
        <v>9510</v>
      </c>
      <c r="CE125" s="439">
        <v>11190</v>
      </c>
      <c r="CF125" s="439">
        <v>121820</v>
      </c>
      <c r="CH125" s="439">
        <v>27410</v>
      </c>
      <c r="CI125" s="439">
        <v>27410</v>
      </c>
    </row>
    <row r="126" spans="1:87" s="439" customFormat="1" ht="15.95" customHeight="1">
      <c r="A126" s="428">
        <v>10</v>
      </c>
      <c r="B126" s="429"/>
      <c r="C126" s="429"/>
      <c r="D126" s="429"/>
      <c r="E126" s="357"/>
      <c r="F126" s="430" t="s">
        <v>272</v>
      </c>
      <c r="G126" s="429">
        <v>365</v>
      </c>
      <c r="H126" s="429" t="s">
        <v>204</v>
      </c>
      <c r="I126" s="429">
        <v>40970</v>
      </c>
      <c r="J126" s="429">
        <v>40970</v>
      </c>
      <c r="K126" s="431">
        <v>9</v>
      </c>
      <c r="L126" s="431">
        <v>11</v>
      </c>
      <c r="M126" s="431">
        <v>27</v>
      </c>
      <c r="N126" s="431">
        <v>9</v>
      </c>
      <c r="O126" s="431">
        <v>6</v>
      </c>
      <c r="P126" s="431">
        <v>0</v>
      </c>
      <c r="Q126" s="431">
        <v>3</v>
      </c>
      <c r="R126" s="431">
        <v>4</v>
      </c>
      <c r="S126" s="431">
        <v>1</v>
      </c>
      <c r="T126" s="431">
        <v>12</v>
      </c>
      <c r="U126" s="431">
        <v>10</v>
      </c>
      <c r="V126" s="431">
        <v>1</v>
      </c>
      <c r="W126" s="432"/>
      <c r="X126" s="429">
        <v>41335</v>
      </c>
      <c r="Y126" s="429" t="s">
        <v>205</v>
      </c>
      <c r="Z126" s="292"/>
      <c r="AA126" s="292">
        <v>52109</v>
      </c>
      <c r="AB126" s="292" t="s">
        <v>275</v>
      </c>
      <c r="AC126" s="292">
        <v>1840000</v>
      </c>
      <c r="AD126" s="432"/>
      <c r="AE126" s="433"/>
      <c r="AF126" s="433">
        <v>31</v>
      </c>
      <c r="AG126" s="433">
        <v>31</v>
      </c>
      <c r="AH126" s="440"/>
      <c r="AI126" s="434">
        <v>25</v>
      </c>
      <c r="AJ126" s="454">
        <v>1150000</v>
      </c>
      <c r="AK126" s="454"/>
      <c r="AL126" s="455"/>
      <c r="AM126" s="455"/>
      <c r="AN126" s="455"/>
      <c r="AO126" s="455">
        <v>262500</v>
      </c>
      <c r="AP126" s="454"/>
      <c r="AQ126" s="455"/>
      <c r="AR126" s="455"/>
      <c r="AS126" s="454">
        <v>37500</v>
      </c>
      <c r="AT126" s="454"/>
      <c r="AU126" s="454">
        <v>0</v>
      </c>
      <c r="AV126" s="454">
        <v>140000</v>
      </c>
      <c r="AW126" s="454">
        <v>0</v>
      </c>
      <c r="AX126" s="456"/>
      <c r="AY126" s="457"/>
      <c r="AZ126" s="457"/>
      <c r="BA126" s="457"/>
      <c r="BB126" s="458">
        <v>1590000</v>
      </c>
      <c r="BC126" s="459">
        <v>1551000</v>
      </c>
      <c r="BD126" s="457">
        <v>1577480</v>
      </c>
      <c r="BE126" s="457"/>
      <c r="BF126" s="457">
        <v>0</v>
      </c>
      <c r="BG126" s="457">
        <v>69790</v>
      </c>
      <c r="BH126" s="464">
        <v>54100</v>
      </c>
      <c r="BI126" s="465">
        <v>6230</v>
      </c>
      <c r="BJ126" s="465"/>
      <c r="BK126" s="465">
        <v>12610</v>
      </c>
      <c r="BL126" s="466"/>
      <c r="BM126" s="466">
        <v>0</v>
      </c>
      <c r="BN126" s="466"/>
      <c r="BO126" s="454"/>
      <c r="BP126" s="454"/>
      <c r="BQ126" s="454">
        <v>142730</v>
      </c>
      <c r="BR126" s="454">
        <v>1447270</v>
      </c>
      <c r="BS126" s="439">
        <v>1512783</v>
      </c>
      <c r="BT126" s="439">
        <v>1512783</v>
      </c>
      <c r="BW126" s="439">
        <v>69790</v>
      </c>
      <c r="BX126" s="439">
        <v>54100</v>
      </c>
      <c r="BY126" s="439">
        <v>6230</v>
      </c>
      <c r="CA126" s="439">
        <v>12610</v>
      </c>
      <c r="CB126" s="439">
        <v>13400</v>
      </c>
      <c r="CE126" s="439">
        <v>15770</v>
      </c>
      <c r="CF126" s="439">
        <v>171900</v>
      </c>
      <c r="CH126" s="439">
        <v>38620</v>
      </c>
      <c r="CI126" s="439">
        <v>38620</v>
      </c>
    </row>
    <row r="127" spans="1:87" s="439" customFormat="1" ht="15.95" customHeight="1">
      <c r="A127" s="428">
        <v>10</v>
      </c>
      <c r="B127" s="429"/>
      <c r="C127" s="429"/>
      <c r="D127" s="429"/>
      <c r="E127" s="357"/>
      <c r="F127" s="430" t="s">
        <v>207</v>
      </c>
      <c r="G127" s="429">
        <v>300</v>
      </c>
      <c r="H127" s="429" t="s">
        <v>276</v>
      </c>
      <c r="I127" s="429">
        <v>36564</v>
      </c>
      <c r="J127" s="429">
        <v>39356</v>
      </c>
      <c r="K127" s="431">
        <v>14</v>
      </c>
      <c r="L127" s="431">
        <v>5</v>
      </c>
      <c r="M127" s="431">
        <v>0</v>
      </c>
      <c r="N127" s="431">
        <v>21</v>
      </c>
      <c r="O127" s="431">
        <v>6</v>
      </c>
      <c r="P127" s="431">
        <v>24</v>
      </c>
      <c r="Q127" s="431">
        <v>3</v>
      </c>
      <c r="R127" s="431">
        <v>2</v>
      </c>
      <c r="S127" s="431">
        <v>29</v>
      </c>
      <c r="T127" s="431">
        <v>24</v>
      </c>
      <c r="U127" s="431">
        <v>9</v>
      </c>
      <c r="V127" s="431">
        <v>23</v>
      </c>
      <c r="W127" s="432"/>
      <c r="X127" s="429">
        <v>39356</v>
      </c>
      <c r="Y127" s="429" t="s">
        <v>205</v>
      </c>
      <c r="Z127" s="292"/>
      <c r="AA127" s="292">
        <v>44804</v>
      </c>
      <c r="AB127" s="292" t="s">
        <v>206</v>
      </c>
      <c r="AC127" s="292">
        <v>1840000</v>
      </c>
      <c r="AD127" s="432"/>
      <c r="AE127" s="433">
        <v>31</v>
      </c>
      <c r="AF127" s="433">
        <v>31</v>
      </c>
      <c r="AG127" s="433">
        <v>31</v>
      </c>
      <c r="AH127" s="440" t="s">
        <v>277</v>
      </c>
      <c r="AI127" s="434">
        <v>40</v>
      </c>
      <c r="AJ127" s="454">
        <v>1840000</v>
      </c>
      <c r="AK127" s="454"/>
      <c r="AL127" s="455"/>
      <c r="AM127" s="455"/>
      <c r="AN127" s="455"/>
      <c r="AO127" s="455">
        <v>700000</v>
      </c>
      <c r="AP127" s="454"/>
      <c r="AQ127" s="455"/>
      <c r="AR127" s="455"/>
      <c r="AS127" s="454">
        <v>40000</v>
      </c>
      <c r="AT127" s="454"/>
      <c r="AU127" s="454">
        <v>50000</v>
      </c>
      <c r="AV127" s="454">
        <v>140000</v>
      </c>
      <c r="AW127" s="454">
        <v>0</v>
      </c>
      <c r="AX127" s="456"/>
      <c r="AY127" s="457"/>
      <c r="AZ127" s="457"/>
      <c r="BA127" s="457"/>
      <c r="BB127" s="458">
        <v>2770000</v>
      </c>
      <c r="BC127" s="459">
        <v>2363000</v>
      </c>
      <c r="BD127" s="457">
        <v>2403090</v>
      </c>
      <c r="BE127" s="457"/>
      <c r="BF127" s="457">
        <v>0</v>
      </c>
      <c r="BG127" s="457">
        <v>106330</v>
      </c>
      <c r="BH127" s="464">
        <v>82420</v>
      </c>
      <c r="BI127" s="465">
        <v>9490</v>
      </c>
      <c r="BJ127" s="465"/>
      <c r="BK127" s="465">
        <v>19050</v>
      </c>
      <c r="BL127" s="466"/>
      <c r="BM127" s="466">
        <v>900000</v>
      </c>
      <c r="BN127" s="466">
        <v>0</v>
      </c>
      <c r="BO127" s="454"/>
      <c r="BP127" s="454"/>
      <c r="BQ127" s="454">
        <v>1117290</v>
      </c>
      <c r="BR127" s="454">
        <v>1652710</v>
      </c>
      <c r="BS127" s="439">
        <v>2381250</v>
      </c>
      <c r="BT127" s="439">
        <v>2381250</v>
      </c>
      <c r="BW127" s="439">
        <v>106330</v>
      </c>
      <c r="BX127" s="439">
        <v>82420</v>
      </c>
      <c r="BY127" s="439">
        <v>9490</v>
      </c>
      <c r="CA127" s="439">
        <v>19050</v>
      </c>
      <c r="CB127" s="439">
        <v>20240</v>
      </c>
      <c r="CE127" s="439">
        <v>23810</v>
      </c>
      <c r="CF127" s="439">
        <v>261340</v>
      </c>
      <c r="CH127" s="439">
        <v>58340</v>
      </c>
      <c r="CI127" s="439">
        <v>58340</v>
      </c>
    </row>
    <row r="128" spans="1:87" s="439" customFormat="1" ht="15.95" customHeight="1">
      <c r="A128" s="428">
        <v>10</v>
      </c>
      <c r="B128" s="429"/>
      <c r="C128" s="429"/>
      <c r="D128" s="429"/>
      <c r="E128" s="357"/>
      <c r="F128" s="430" t="s">
        <v>207</v>
      </c>
      <c r="G128" s="429">
        <v>300</v>
      </c>
      <c r="H128" s="429" t="s">
        <v>276</v>
      </c>
      <c r="I128" s="429">
        <v>38777</v>
      </c>
      <c r="J128" s="429">
        <v>38777</v>
      </c>
      <c r="K128" s="431">
        <v>16</v>
      </c>
      <c r="L128" s="431">
        <v>0</v>
      </c>
      <c r="M128" s="431">
        <v>0</v>
      </c>
      <c r="N128" s="431">
        <v>15</v>
      </c>
      <c r="O128" s="431">
        <v>6</v>
      </c>
      <c r="P128" s="431">
        <v>1</v>
      </c>
      <c r="Q128" s="431">
        <v>2</v>
      </c>
      <c r="R128" s="431">
        <v>6</v>
      </c>
      <c r="S128" s="431">
        <v>13</v>
      </c>
      <c r="T128" s="431">
        <v>18</v>
      </c>
      <c r="U128" s="431">
        <v>0</v>
      </c>
      <c r="V128" s="431">
        <v>14</v>
      </c>
      <c r="W128" s="432"/>
      <c r="X128" s="429">
        <v>40087</v>
      </c>
      <c r="Y128" s="429" t="s">
        <v>205</v>
      </c>
      <c r="Z128" s="292"/>
      <c r="AA128" s="292">
        <v>45716</v>
      </c>
      <c r="AB128" s="292" t="s">
        <v>206</v>
      </c>
      <c r="AC128" s="292">
        <v>1840000</v>
      </c>
      <c r="AD128" s="432"/>
      <c r="AE128" s="433">
        <v>31</v>
      </c>
      <c r="AF128" s="433">
        <v>31</v>
      </c>
      <c r="AG128" s="433">
        <v>31</v>
      </c>
      <c r="AH128" s="440" t="s">
        <v>277</v>
      </c>
      <c r="AI128" s="434">
        <v>40</v>
      </c>
      <c r="AJ128" s="454">
        <v>1840000</v>
      </c>
      <c r="AK128" s="455"/>
      <c r="AL128" s="455"/>
      <c r="AM128" s="455"/>
      <c r="AN128" s="455"/>
      <c r="AO128" s="455">
        <v>630000</v>
      </c>
      <c r="AP128" s="454"/>
      <c r="AQ128" s="455"/>
      <c r="AR128" s="455"/>
      <c r="AS128" s="454">
        <v>40000</v>
      </c>
      <c r="AT128" s="454"/>
      <c r="AU128" s="454">
        <v>50000</v>
      </c>
      <c r="AV128" s="454">
        <v>140000</v>
      </c>
      <c r="AW128" s="454">
        <v>0</v>
      </c>
      <c r="AX128" s="456"/>
      <c r="AY128" s="457"/>
      <c r="AZ128" s="457"/>
      <c r="BA128" s="457"/>
      <c r="BB128" s="458">
        <v>2700000</v>
      </c>
      <c r="BC128" s="459">
        <v>2474000</v>
      </c>
      <c r="BD128" s="457">
        <v>2515409</v>
      </c>
      <c r="BE128" s="457"/>
      <c r="BF128" s="457">
        <v>0</v>
      </c>
      <c r="BG128" s="457">
        <v>103320</v>
      </c>
      <c r="BH128" s="464">
        <v>84380</v>
      </c>
      <c r="BI128" s="465">
        <v>9720</v>
      </c>
      <c r="BJ128" s="465"/>
      <c r="BK128" s="465">
        <v>19680</v>
      </c>
      <c r="BL128" s="466"/>
      <c r="BM128" s="466">
        <v>900000</v>
      </c>
      <c r="BN128" s="466"/>
      <c r="BO128" s="454"/>
      <c r="BP128" s="454"/>
      <c r="BQ128" s="454">
        <v>1117100</v>
      </c>
      <c r="BR128" s="454">
        <v>1582900</v>
      </c>
      <c r="BS128" s="439">
        <v>2469240</v>
      </c>
      <c r="BT128" s="439">
        <v>2469240</v>
      </c>
      <c r="BW128" s="439">
        <v>114380</v>
      </c>
      <c r="BX128" s="439">
        <v>84380</v>
      </c>
      <c r="BY128" s="439">
        <v>9720</v>
      </c>
      <c r="CA128" s="439">
        <v>19680</v>
      </c>
      <c r="CB128" s="439">
        <v>20910</v>
      </c>
      <c r="CE128" s="439">
        <v>24600</v>
      </c>
      <c r="CF128" s="439">
        <v>273670</v>
      </c>
      <c r="CH128" s="439">
        <v>60270</v>
      </c>
      <c r="CI128" s="439">
        <v>60270</v>
      </c>
    </row>
    <row r="129" spans="1:87" s="439" customFormat="1" ht="15.95" customHeight="1">
      <c r="A129" s="428">
        <v>10</v>
      </c>
      <c r="B129" s="429"/>
      <c r="C129" s="429"/>
      <c r="D129" s="429"/>
      <c r="E129" s="357"/>
      <c r="F129" s="430" t="s">
        <v>207</v>
      </c>
      <c r="G129" s="429">
        <v>300</v>
      </c>
      <c r="H129" s="429" t="s">
        <v>204</v>
      </c>
      <c r="I129" s="429">
        <v>38022</v>
      </c>
      <c r="J129" s="429">
        <v>38047</v>
      </c>
      <c r="K129" s="431">
        <v>18</v>
      </c>
      <c r="L129" s="431">
        <v>0</v>
      </c>
      <c r="M129" s="431">
        <v>0</v>
      </c>
      <c r="N129" s="431">
        <v>17</v>
      </c>
      <c r="O129" s="431">
        <v>6</v>
      </c>
      <c r="P129" s="431">
        <v>27</v>
      </c>
      <c r="Q129" s="431">
        <v>6</v>
      </c>
      <c r="R129" s="431">
        <v>6</v>
      </c>
      <c r="S129" s="431">
        <v>25</v>
      </c>
      <c r="T129" s="431">
        <v>24</v>
      </c>
      <c r="U129" s="431">
        <v>1</v>
      </c>
      <c r="V129" s="431">
        <v>22</v>
      </c>
      <c r="W129" s="432"/>
      <c r="X129" s="429">
        <v>39356</v>
      </c>
      <c r="Y129" s="429" t="s">
        <v>205</v>
      </c>
      <c r="Z129" s="292"/>
      <c r="AA129" s="292">
        <v>45716</v>
      </c>
      <c r="AB129" s="292" t="s">
        <v>206</v>
      </c>
      <c r="AC129" s="292">
        <v>1840000</v>
      </c>
      <c r="AD129" s="432"/>
      <c r="AE129" s="433">
        <v>31</v>
      </c>
      <c r="AF129" s="433">
        <v>31</v>
      </c>
      <c r="AG129" s="433">
        <v>31</v>
      </c>
      <c r="AH129" s="440" t="s">
        <v>277</v>
      </c>
      <c r="AI129" s="434">
        <v>40</v>
      </c>
      <c r="AJ129" s="454">
        <v>1840000</v>
      </c>
      <c r="AK129" s="455"/>
      <c r="AL129" s="455"/>
      <c r="AM129" s="455"/>
      <c r="AN129" s="455"/>
      <c r="AO129" s="455">
        <v>700000</v>
      </c>
      <c r="AP129" s="454"/>
      <c r="AQ129" s="455"/>
      <c r="AR129" s="455"/>
      <c r="AS129" s="454"/>
      <c r="AT129" s="454"/>
      <c r="AU129" s="454">
        <v>50000</v>
      </c>
      <c r="AV129" s="454">
        <v>140000</v>
      </c>
      <c r="AW129" s="454">
        <v>0</v>
      </c>
      <c r="AX129" s="456"/>
      <c r="AY129" s="457"/>
      <c r="AZ129" s="457"/>
      <c r="BA129" s="457"/>
      <c r="BB129" s="458">
        <v>2730000</v>
      </c>
      <c r="BC129" s="459">
        <v>0</v>
      </c>
      <c r="BD129" s="457">
        <v>2384000</v>
      </c>
      <c r="BE129" s="457"/>
      <c r="BF129" s="457">
        <v>0</v>
      </c>
      <c r="BG129" s="457">
        <v>109890</v>
      </c>
      <c r="BH129" s="464">
        <v>87190</v>
      </c>
      <c r="BI129" s="465">
        <v>10040</v>
      </c>
      <c r="BJ129" s="465"/>
      <c r="BK129" s="465">
        <v>20330</v>
      </c>
      <c r="BL129" s="466"/>
      <c r="BM129" s="466">
        <v>600000</v>
      </c>
      <c r="BN129" s="466"/>
      <c r="BO129" s="454"/>
      <c r="BP129" s="454"/>
      <c r="BQ129" s="454">
        <v>827450</v>
      </c>
      <c r="BR129" s="454">
        <v>1902550</v>
      </c>
      <c r="BS129" s="439">
        <v>2417475</v>
      </c>
      <c r="BT129" s="439">
        <v>2417475</v>
      </c>
      <c r="BW129" s="439">
        <v>115110</v>
      </c>
      <c r="BX129" s="439">
        <v>87190</v>
      </c>
      <c r="BY129" s="439">
        <v>10040</v>
      </c>
      <c r="CA129" s="439">
        <v>20330</v>
      </c>
      <c r="CB129" s="439">
        <v>21600</v>
      </c>
      <c r="CE129" s="439">
        <v>25420</v>
      </c>
      <c r="CF129" s="439">
        <v>279690</v>
      </c>
      <c r="CH129" s="439">
        <v>62260</v>
      </c>
      <c r="CI129" s="439">
        <v>62260</v>
      </c>
    </row>
    <row r="130" spans="1:87" s="439" customFormat="1" ht="15.95" customHeight="1">
      <c r="A130" s="428">
        <v>10</v>
      </c>
      <c r="B130" s="429"/>
      <c r="C130" s="429"/>
      <c r="D130" s="429"/>
      <c r="E130" s="357"/>
      <c r="F130" s="430" t="s">
        <v>207</v>
      </c>
      <c r="G130" s="429">
        <v>300</v>
      </c>
      <c r="H130" s="429" t="s">
        <v>276</v>
      </c>
      <c r="I130" s="429">
        <v>38018</v>
      </c>
      <c r="J130" s="429">
        <v>38047</v>
      </c>
      <c r="K130" s="431">
        <v>18</v>
      </c>
      <c r="L130" s="431">
        <v>0</v>
      </c>
      <c r="M130" s="431">
        <v>0</v>
      </c>
      <c r="N130" s="431">
        <v>17</v>
      </c>
      <c r="O130" s="431">
        <v>7</v>
      </c>
      <c r="P130" s="431">
        <v>1</v>
      </c>
      <c r="Q130" s="431">
        <v>8</v>
      </c>
      <c r="R130" s="431">
        <v>6</v>
      </c>
      <c r="S130" s="431">
        <v>14</v>
      </c>
      <c r="T130" s="431">
        <v>26</v>
      </c>
      <c r="U130" s="431">
        <v>1</v>
      </c>
      <c r="V130" s="431">
        <v>15</v>
      </c>
      <c r="W130" s="432"/>
      <c r="X130" s="429">
        <v>39356</v>
      </c>
      <c r="Y130" s="429" t="s">
        <v>205</v>
      </c>
      <c r="Z130" s="292"/>
      <c r="AA130" s="292">
        <v>45900</v>
      </c>
      <c r="AB130" s="292" t="s">
        <v>206</v>
      </c>
      <c r="AC130" s="292">
        <v>1840000</v>
      </c>
      <c r="AD130" s="433"/>
      <c r="AE130" s="433">
        <v>31</v>
      </c>
      <c r="AF130" s="433">
        <v>31</v>
      </c>
      <c r="AG130" s="433">
        <v>31</v>
      </c>
      <c r="AH130" s="440" t="s">
        <v>277</v>
      </c>
      <c r="AI130" s="441">
        <v>40</v>
      </c>
      <c r="AJ130" s="454">
        <v>1840000</v>
      </c>
      <c r="AK130" s="454"/>
      <c r="AL130" s="454"/>
      <c r="AM130" s="454"/>
      <c r="AN130" s="454"/>
      <c r="AO130" s="455">
        <v>700000</v>
      </c>
      <c r="AP130" s="454"/>
      <c r="AQ130" s="455"/>
      <c r="AR130" s="455"/>
      <c r="AS130" s="454">
        <v>40000</v>
      </c>
      <c r="AT130" s="454"/>
      <c r="AU130" s="454">
        <v>50000</v>
      </c>
      <c r="AV130" s="454">
        <v>140000</v>
      </c>
      <c r="AW130" s="454">
        <v>0</v>
      </c>
      <c r="AX130" s="456"/>
      <c r="AY130" s="457"/>
      <c r="AZ130" s="457"/>
      <c r="BA130" s="457"/>
      <c r="BB130" s="458">
        <v>2770000</v>
      </c>
      <c r="BC130" s="459">
        <v>2431000</v>
      </c>
      <c r="BD130" s="457">
        <v>2472056</v>
      </c>
      <c r="BE130" s="457"/>
      <c r="BF130" s="457">
        <v>0</v>
      </c>
      <c r="BG130" s="457">
        <v>109390</v>
      </c>
      <c r="BH130" s="464">
        <v>84790</v>
      </c>
      <c r="BI130" s="465">
        <v>9760</v>
      </c>
      <c r="BJ130" s="465"/>
      <c r="BK130" s="465">
        <v>19770</v>
      </c>
      <c r="BL130" s="466"/>
      <c r="BM130" s="466">
        <v>600000</v>
      </c>
      <c r="BN130" s="466"/>
      <c r="BO130" s="454"/>
      <c r="BP130" s="454"/>
      <c r="BQ130" s="454">
        <v>823710</v>
      </c>
      <c r="BR130" s="454">
        <v>1946290</v>
      </c>
      <c r="BS130" s="439">
        <v>2601100</v>
      </c>
      <c r="BT130" s="439">
        <v>2601100</v>
      </c>
      <c r="BW130" s="439">
        <v>109390</v>
      </c>
      <c r="BX130" s="439">
        <v>84790</v>
      </c>
      <c r="BY130" s="439">
        <v>9760</v>
      </c>
      <c r="CA130" s="439">
        <v>19770</v>
      </c>
      <c r="CB130" s="439">
        <v>21010</v>
      </c>
      <c r="CE130" s="439">
        <v>24720</v>
      </c>
      <c r="CF130" s="439">
        <v>269440</v>
      </c>
      <c r="CH130" s="439">
        <v>60550</v>
      </c>
      <c r="CI130" s="439">
        <v>60550</v>
      </c>
    </row>
    <row r="131" spans="1:87" s="439" customFormat="1" ht="15.95" customHeight="1">
      <c r="A131" s="428">
        <v>10</v>
      </c>
      <c r="B131" s="429"/>
      <c r="C131" s="429"/>
      <c r="D131" s="429"/>
      <c r="E131" s="357"/>
      <c r="F131" s="430" t="s">
        <v>207</v>
      </c>
      <c r="G131" s="429">
        <v>365</v>
      </c>
      <c r="H131" s="429" t="s">
        <v>204</v>
      </c>
      <c r="I131" s="429">
        <v>42795</v>
      </c>
      <c r="J131" s="429">
        <v>43891</v>
      </c>
      <c r="K131" s="431">
        <v>2</v>
      </c>
      <c r="L131" s="431">
        <v>0</v>
      </c>
      <c r="M131" s="431">
        <v>0</v>
      </c>
      <c r="N131" s="431">
        <v>1</v>
      </c>
      <c r="O131" s="431">
        <v>6</v>
      </c>
      <c r="P131" s="431">
        <v>1</v>
      </c>
      <c r="Q131" s="431"/>
      <c r="R131" s="431"/>
      <c r="S131" s="431"/>
      <c r="T131" s="431">
        <v>1</v>
      </c>
      <c r="U131" s="431">
        <v>6</v>
      </c>
      <c r="V131" s="431">
        <v>1</v>
      </c>
      <c r="W131" s="432"/>
      <c r="X131" s="429">
        <v>43160</v>
      </c>
      <c r="Y131" s="429" t="s">
        <v>205</v>
      </c>
      <c r="Z131" s="292"/>
      <c r="AA131" s="292">
        <v>48638</v>
      </c>
      <c r="AB131" s="292" t="s">
        <v>274</v>
      </c>
      <c r="AC131" s="292">
        <v>920000</v>
      </c>
      <c r="AD131" s="433"/>
      <c r="AE131" s="433"/>
      <c r="AF131" s="433">
        <v>31</v>
      </c>
      <c r="AG131" s="433">
        <v>31</v>
      </c>
      <c r="AH131" s="433"/>
      <c r="AI131" s="441">
        <v>20</v>
      </c>
      <c r="AJ131" s="454">
        <v>920000</v>
      </c>
      <c r="AK131" s="455"/>
      <c r="AL131" s="455"/>
      <c r="AM131" s="455"/>
      <c r="AN131" s="455"/>
      <c r="AO131" s="455">
        <v>17500</v>
      </c>
      <c r="AP131" s="454"/>
      <c r="AQ131" s="455"/>
      <c r="AR131" s="455"/>
      <c r="AS131" s="454"/>
      <c r="AT131" s="454"/>
      <c r="AU131" s="454"/>
      <c r="AV131" s="454">
        <v>140000</v>
      </c>
      <c r="AW131" s="454">
        <v>0</v>
      </c>
      <c r="AX131" s="456"/>
      <c r="AY131" s="457"/>
      <c r="AZ131" s="457"/>
      <c r="BA131" s="457"/>
      <c r="BB131" s="458">
        <v>1077500</v>
      </c>
      <c r="BC131" s="459">
        <v>694000</v>
      </c>
      <c r="BD131" s="457">
        <v>706055</v>
      </c>
      <c r="BE131" s="457"/>
      <c r="BF131" s="457">
        <v>0</v>
      </c>
      <c r="BG131" s="457">
        <v>31230</v>
      </c>
      <c r="BH131" s="464">
        <v>24210</v>
      </c>
      <c r="BI131" s="465">
        <v>2780</v>
      </c>
      <c r="BJ131" s="465"/>
      <c r="BK131" s="465">
        <v>5640</v>
      </c>
      <c r="BL131" s="466"/>
      <c r="BM131" s="466"/>
      <c r="BN131" s="466"/>
      <c r="BO131" s="454"/>
      <c r="BP131" s="454"/>
      <c r="BQ131" s="454">
        <v>63860</v>
      </c>
      <c r="BR131" s="454">
        <v>1013640</v>
      </c>
      <c r="BS131" s="439">
        <v>860666</v>
      </c>
      <c r="BT131" s="439">
        <v>860666</v>
      </c>
      <c r="BW131" s="439">
        <v>31230</v>
      </c>
      <c r="BX131" s="439">
        <v>24210</v>
      </c>
      <c r="BY131" s="439">
        <v>2780</v>
      </c>
      <c r="CA131" s="439">
        <v>5640</v>
      </c>
      <c r="CB131" s="439">
        <v>6000</v>
      </c>
      <c r="CE131" s="439">
        <v>7060</v>
      </c>
      <c r="CF131" s="439">
        <v>76920</v>
      </c>
      <c r="CH131" s="439">
        <v>17280</v>
      </c>
      <c r="CI131" s="439">
        <v>17280</v>
      </c>
    </row>
    <row r="132" spans="1:87" s="439" customFormat="1" ht="15.95" customHeight="1">
      <c r="A132" s="428">
        <v>10</v>
      </c>
      <c r="B132" s="429"/>
      <c r="C132" s="429"/>
      <c r="D132" s="429"/>
      <c r="E132" s="357"/>
      <c r="F132" s="430" t="s">
        <v>207</v>
      </c>
      <c r="G132" s="429">
        <v>365</v>
      </c>
      <c r="H132" s="429" t="s">
        <v>204</v>
      </c>
      <c r="I132" s="429">
        <v>42795</v>
      </c>
      <c r="J132" s="429">
        <v>43891</v>
      </c>
      <c r="K132" s="431">
        <v>2</v>
      </c>
      <c r="L132" s="431">
        <v>0</v>
      </c>
      <c r="M132" s="431">
        <v>0</v>
      </c>
      <c r="N132" s="431">
        <v>1</v>
      </c>
      <c r="O132" s="431">
        <v>6</v>
      </c>
      <c r="P132" s="431">
        <v>1</v>
      </c>
      <c r="Q132" s="431"/>
      <c r="R132" s="431"/>
      <c r="S132" s="431"/>
      <c r="T132" s="431">
        <v>1</v>
      </c>
      <c r="U132" s="431">
        <v>6</v>
      </c>
      <c r="V132" s="431">
        <v>1</v>
      </c>
      <c r="W132" s="432"/>
      <c r="X132" s="429">
        <v>43160</v>
      </c>
      <c r="Y132" s="429" t="s">
        <v>205</v>
      </c>
      <c r="Z132" s="292"/>
      <c r="AA132" s="292">
        <v>48091</v>
      </c>
      <c r="AB132" s="292" t="s">
        <v>274</v>
      </c>
      <c r="AC132" s="292">
        <v>920000</v>
      </c>
      <c r="AD132" s="433"/>
      <c r="AE132" s="433"/>
      <c r="AF132" s="433">
        <v>31</v>
      </c>
      <c r="AG132" s="433">
        <v>31</v>
      </c>
      <c r="AH132" s="433"/>
      <c r="AI132" s="441">
        <v>20</v>
      </c>
      <c r="AJ132" s="454">
        <v>920000</v>
      </c>
      <c r="AK132" s="454"/>
      <c r="AL132" s="454"/>
      <c r="AM132" s="454"/>
      <c r="AN132" s="454"/>
      <c r="AO132" s="455">
        <v>17500</v>
      </c>
      <c r="AP132" s="454"/>
      <c r="AQ132" s="455"/>
      <c r="AR132" s="455"/>
      <c r="AS132" s="454">
        <v>20000</v>
      </c>
      <c r="AT132" s="454"/>
      <c r="AU132" s="454"/>
      <c r="AV132" s="454">
        <v>140000</v>
      </c>
      <c r="AW132" s="454">
        <v>0</v>
      </c>
      <c r="AX132" s="456"/>
      <c r="AY132" s="457"/>
      <c r="AZ132" s="457"/>
      <c r="BA132" s="457"/>
      <c r="BB132" s="458">
        <v>1097500</v>
      </c>
      <c r="BC132" s="459">
        <v>720000</v>
      </c>
      <c r="BD132" s="457">
        <v>732315</v>
      </c>
      <c r="BE132" s="457"/>
      <c r="BF132" s="457">
        <v>0</v>
      </c>
      <c r="BG132" s="457">
        <v>32400</v>
      </c>
      <c r="BH132" s="464">
        <v>25110</v>
      </c>
      <c r="BI132" s="465">
        <v>2890</v>
      </c>
      <c r="BJ132" s="465"/>
      <c r="BK132" s="465">
        <v>5850</v>
      </c>
      <c r="BL132" s="466"/>
      <c r="BM132" s="466"/>
      <c r="BN132" s="466"/>
      <c r="BO132" s="454"/>
      <c r="BP132" s="454"/>
      <c r="BQ132" s="454">
        <v>66250</v>
      </c>
      <c r="BR132" s="454">
        <v>1031250</v>
      </c>
      <c r="BS132" s="439">
        <v>873416</v>
      </c>
      <c r="BT132" s="439">
        <v>873416</v>
      </c>
      <c r="BW132" s="439">
        <v>32400</v>
      </c>
      <c r="BX132" s="439">
        <v>25110</v>
      </c>
      <c r="BY132" s="439">
        <v>2890</v>
      </c>
      <c r="CA132" s="439">
        <v>5850</v>
      </c>
      <c r="CB132" s="439">
        <v>6220</v>
      </c>
      <c r="CE132" s="439">
        <v>7320</v>
      </c>
      <c r="CF132" s="439">
        <v>79790</v>
      </c>
      <c r="CH132" s="439">
        <v>17920</v>
      </c>
      <c r="CI132" s="439">
        <v>17920</v>
      </c>
    </row>
    <row r="133" spans="1:87" s="439" customFormat="1" ht="15.95" customHeight="1">
      <c r="A133" s="428">
        <v>10</v>
      </c>
      <c r="B133" s="429"/>
      <c r="C133" s="429"/>
      <c r="D133" s="429"/>
      <c r="E133" s="357"/>
      <c r="F133" s="430" t="s">
        <v>272</v>
      </c>
      <c r="G133" s="429">
        <v>300</v>
      </c>
      <c r="H133" s="429"/>
      <c r="I133" s="429">
        <v>43891</v>
      </c>
      <c r="J133" s="429"/>
      <c r="K133" s="431" t="s">
        <v>278</v>
      </c>
      <c r="L133" s="431" t="s">
        <v>278</v>
      </c>
      <c r="M133" s="431" t="s">
        <v>278</v>
      </c>
      <c r="N133" s="431" t="s">
        <v>278</v>
      </c>
      <c r="O133" s="431" t="s">
        <v>278</v>
      </c>
      <c r="P133" s="431" t="s">
        <v>278</v>
      </c>
      <c r="Q133" s="431"/>
      <c r="R133" s="431"/>
      <c r="S133" s="431"/>
      <c r="T133" s="431">
        <v>0</v>
      </c>
      <c r="U133" s="431">
        <v>0</v>
      </c>
      <c r="V133" s="431">
        <v>0</v>
      </c>
      <c r="W133" s="432" t="s">
        <v>213</v>
      </c>
      <c r="X133" s="429"/>
      <c r="Y133" s="429" t="s">
        <v>205</v>
      </c>
      <c r="Z133" s="292"/>
      <c r="AA133" s="292" t="s">
        <v>279</v>
      </c>
      <c r="AB133" s="292" t="s">
        <v>274</v>
      </c>
      <c r="AC133" s="292">
        <v>2039000</v>
      </c>
      <c r="AD133" s="433"/>
      <c r="AE133" s="433"/>
      <c r="AF133" s="433">
        <v>31</v>
      </c>
      <c r="AG133" s="433">
        <v>31</v>
      </c>
      <c r="AH133" s="433"/>
      <c r="AI133" s="442">
        <v>20</v>
      </c>
      <c r="AJ133" s="454">
        <v>1069500</v>
      </c>
      <c r="AK133" s="455"/>
      <c r="AL133" s="455"/>
      <c r="AM133" s="455">
        <v>125000</v>
      </c>
      <c r="AN133" s="455">
        <v>35000</v>
      </c>
      <c r="AO133" s="455">
        <v>0</v>
      </c>
      <c r="AP133" s="454">
        <v>43100</v>
      </c>
      <c r="AQ133" s="455"/>
      <c r="AR133" s="454"/>
      <c r="AS133" s="454">
        <v>70000</v>
      </c>
      <c r="AT133" s="454"/>
      <c r="AU133" s="454"/>
      <c r="AV133" s="454">
        <v>70000</v>
      </c>
      <c r="AW133" s="454"/>
      <c r="AX133" s="456"/>
      <c r="AY133" s="457"/>
      <c r="AZ133" s="457"/>
      <c r="BA133" s="457"/>
      <c r="BB133" s="458">
        <v>1412600</v>
      </c>
      <c r="BC133" s="459">
        <v>1206000</v>
      </c>
      <c r="BD133" s="457">
        <v>1226479</v>
      </c>
      <c r="BE133" s="457"/>
      <c r="BF133" s="457">
        <v>0</v>
      </c>
      <c r="BG133" s="457">
        <v>54270</v>
      </c>
      <c r="BH133" s="464">
        <v>42060</v>
      </c>
      <c r="BI133" s="465">
        <v>4840</v>
      </c>
      <c r="BJ133" s="465"/>
      <c r="BK133" s="465">
        <v>11770</v>
      </c>
      <c r="BL133" s="466"/>
      <c r="BM133" s="466"/>
      <c r="BN133" s="466"/>
      <c r="BO133" s="454"/>
      <c r="BP133" s="454"/>
      <c r="BQ133" s="454">
        <v>112940</v>
      </c>
      <c r="BR133" s="454">
        <v>1299660</v>
      </c>
      <c r="BS133" s="439">
        <v>1471775</v>
      </c>
      <c r="BT133" s="439">
        <v>1471775</v>
      </c>
      <c r="BW133" s="439">
        <v>54270</v>
      </c>
      <c r="BX133" s="439">
        <v>42060</v>
      </c>
      <c r="BY133" s="439">
        <v>4840</v>
      </c>
      <c r="CA133" s="439">
        <v>11770</v>
      </c>
      <c r="CB133" s="439">
        <v>12510</v>
      </c>
      <c r="CE133" s="439">
        <v>14710</v>
      </c>
      <c r="CF133" s="439">
        <v>140160</v>
      </c>
      <c r="CH133" s="439">
        <v>36050</v>
      </c>
      <c r="CI133" s="439">
        <v>36050</v>
      </c>
    </row>
    <row r="134" spans="1:87" s="439" customFormat="1" ht="15.95" customHeight="1">
      <c r="A134" s="428">
        <v>10</v>
      </c>
      <c r="B134" s="282"/>
      <c r="C134" s="429"/>
      <c r="D134" s="429"/>
      <c r="E134" s="357"/>
      <c r="F134" s="430" t="s">
        <v>203</v>
      </c>
      <c r="G134" s="429">
        <v>365</v>
      </c>
      <c r="H134" s="429"/>
      <c r="I134" s="429">
        <v>44256</v>
      </c>
      <c r="J134" s="429"/>
      <c r="K134" s="431" t="s">
        <v>278</v>
      </c>
      <c r="L134" s="431" t="s">
        <v>278</v>
      </c>
      <c r="M134" s="431" t="s">
        <v>278</v>
      </c>
      <c r="N134" s="431" t="s">
        <v>278</v>
      </c>
      <c r="O134" s="431" t="s">
        <v>278</v>
      </c>
      <c r="P134" s="431" t="s">
        <v>278</v>
      </c>
      <c r="Q134" s="431"/>
      <c r="R134" s="431"/>
      <c r="S134" s="431"/>
      <c r="T134" s="431">
        <v>0</v>
      </c>
      <c r="U134" s="431">
        <v>0</v>
      </c>
      <c r="V134" s="431">
        <v>0</v>
      </c>
      <c r="W134" s="432" t="s">
        <v>213</v>
      </c>
      <c r="X134" s="429"/>
      <c r="Y134" s="429" t="s">
        <v>205</v>
      </c>
      <c r="Z134" s="292"/>
      <c r="AA134" s="292"/>
      <c r="AB134" s="292" t="s">
        <v>280</v>
      </c>
      <c r="AC134" s="292">
        <v>2200000</v>
      </c>
      <c r="AD134" s="433"/>
      <c r="AE134" s="433"/>
      <c r="AF134" s="433">
        <v>31</v>
      </c>
      <c r="AG134" s="433">
        <v>31</v>
      </c>
      <c r="AH134" s="433"/>
      <c r="AI134" s="441">
        <v>40</v>
      </c>
      <c r="AJ134" s="454">
        <v>2200000</v>
      </c>
      <c r="AK134" s="455">
        <v>100000</v>
      </c>
      <c r="AL134" s="455"/>
      <c r="AM134" s="455"/>
      <c r="AN134" s="455"/>
      <c r="AO134" s="455">
        <v>0</v>
      </c>
      <c r="AP134" s="454">
        <v>0</v>
      </c>
      <c r="AQ134" s="455"/>
      <c r="AR134" s="454"/>
      <c r="AS134" s="454"/>
      <c r="AT134" s="454"/>
      <c r="AU134" s="454"/>
      <c r="AV134" s="454"/>
      <c r="AW134" s="454"/>
      <c r="AX134" s="456">
        <v>0</v>
      </c>
      <c r="AY134" s="457"/>
      <c r="AZ134" s="457"/>
      <c r="BA134" s="457"/>
      <c r="BB134" s="458">
        <v>2300000</v>
      </c>
      <c r="BC134" s="459">
        <v>2300000</v>
      </c>
      <c r="BD134" s="457">
        <v>2541660</v>
      </c>
      <c r="BE134" s="457"/>
      <c r="BF134" s="457"/>
      <c r="BG134" s="457">
        <v>114340</v>
      </c>
      <c r="BH134" s="464">
        <v>87170</v>
      </c>
      <c r="BI134" s="465">
        <v>10040</v>
      </c>
      <c r="BJ134" s="465"/>
      <c r="BK134" s="465"/>
      <c r="BL134" s="466"/>
      <c r="BM134" s="466"/>
      <c r="BN134" s="466"/>
      <c r="BO134" s="454"/>
      <c r="BP134" s="454"/>
      <c r="BQ134" s="454">
        <v>211550</v>
      </c>
      <c r="BR134" s="454">
        <v>2088450</v>
      </c>
      <c r="BS134" s="439">
        <v>2300000</v>
      </c>
      <c r="BT134" s="439">
        <v>2300000</v>
      </c>
      <c r="BW134" s="439">
        <v>114340</v>
      </c>
      <c r="BX134" s="439">
        <v>87170</v>
      </c>
      <c r="BY134" s="439">
        <v>10040</v>
      </c>
      <c r="BZ134" s="439">
        <v>0</v>
      </c>
      <c r="CA134" s="439">
        <v>0</v>
      </c>
      <c r="CC134" s="439">
        <v>0</v>
      </c>
      <c r="CE134" s="439">
        <v>25410</v>
      </c>
      <c r="CF134" s="439">
        <v>236960</v>
      </c>
      <c r="CH134" s="439">
        <v>0</v>
      </c>
      <c r="CI134" s="439">
        <v>0</v>
      </c>
    </row>
    <row r="135" spans="1:87" s="439" customFormat="1" ht="15.95" customHeight="1">
      <c r="A135" s="428">
        <v>10</v>
      </c>
      <c r="B135" s="429"/>
      <c r="C135" s="429"/>
      <c r="D135" s="429"/>
      <c r="E135" s="357"/>
      <c r="F135" s="430" t="s">
        <v>272</v>
      </c>
      <c r="G135" s="429">
        <v>365</v>
      </c>
      <c r="H135" s="429"/>
      <c r="I135" s="429"/>
      <c r="J135" s="429"/>
      <c r="K135" s="431"/>
      <c r="L135" s="431"/>
      <c r="M135" s="431"/>
      <c r="N135" s="431"/>
      <c r="O135" s="431"/>
      <c r="P135" s="431"/>
      <c r="Q135" s="431"/>
      <c r="R135" s="431"/>
      <c r="S135" s="431"/>
      <c r="T135" s="431"/>
      <c r="U135" s="431"/>
      <c r="V135" s="431"/>
      <c r="W135" s="432" t="s">
        <v>213</v>
      </c>
      <c r="X135" s="429"/>
      <c r="Y135" s="429" t="s">
        <v>205</v>
      </c>
      <c r="Z135" s="292"/>
      <c r="AA135" s="292" t="s">
        <v>279</v>
      </c>
      <c r="AB135" s="292" t="s">
        <v>281</v>
      </c>
      <c r="AC135" s="292">
        <v>600000</v>
      </c>
      <c r="AD135" s="433"/>
      <c r="AE135" s="433"/>
      <c r="AF135" s="433">
        <v>31</v>
      </c>
      <c r="AG135" s="433">
        <v>31</v>
      </c>
      <c r="AH135" s="433"/>
      <c r="AI135" s="429">
        <v>14</v>
      </c>
      <c r="AJ135" s="454">
        <v>600000</v>
      </c>
      <c r="AK135" s="454"/>
      <c r="AL135" s="454"/>
      <c r="AM135" s="454"/>
      <c r="AN135" s="454"/>
      <c r="AO135" s="455"/>
      <c r="AP135" s="454"/>
      <c r="AQ135" s="455"/>
      <c r="AR135" s="454"/>
      <c r="AS135" s="454"/>
      <c r="AT135" s="454"/>
      <c r="AU135" s="454"/>
      <c r="AV135" s="454"/>
      <c r="AW135" s="454"/>
      <c r="AX135" s="456"/>
      <c r="AY135" s="457"/>
      <c r="AZ135" s="457"/>
      <c r="BA135" s="457"/>
      <c r="BB135" s="458">
        <v>600000</v>
      </c>
      <c r="BC135" s="459"/>
      <c r="BD135" s="457"/>
      <c r="BE135" s="457"/>
      <c r="BF135" s="457">
        <v>0</v>
      </c>
      <c r="BG135" s="457"/>
      <c r="BH135" s="460"/>
      <c r="BI135" s="465"/>
      <c r="BJ135" s="465"/>
      <c r="BK135" s="465">
        <v>0</v>
      </c>
      <c r="BL135" s="466"/>
      <c r="BM135" s="466"/>
      <c r="BN135" s="466"/>
      <c r="BO135" s="454"/>
      <c r="BP135" s="454"/>
      <c r="BQ135" s="454">
        <v>0</v>
      </c>
      <c r="BR135" s="454">
        <v>600000</v>
      </c>
      <c r="BS135" s="439">
        <v>562916</v>
      </c>
      <c r="BT135" s="439">
        <v>562916</v>
      </c>
      <c r="BZ135" s="439">
        <v>0</v>
      </c>
      <c r="CB135" s="439">
        <v>4760</v>
      </c>
      <c r="CC135" s="439">
        <v>0</v>
      </c>
      <c r="CE135" s="439">
        <v>5600</v>
      </c>
      <c r="CF135" s="439">
        <v>10360</v>
      </c>
      <c r="CH135" s="439">
        <v>4760</v>
      </c>
      <c r="CI135" s="439">
        <v>4760</v>
      </c>
    </row>
    <row r="136" spans="1:87" s="439" customFormat="1" ht="15.95" customHeight="1">
      <c r="A136" s="428">
        <v>10</v>
      </c>
      <c r="B136" s="429"/>
      <c r="C136" s="443"/>
      <c r="D136" s="429"/>
      <c r="E136" s="357"/>
      <c r="F136" s="430" t="s">
        <v>271</v>
      </c>
      <c r="G136" s="429"/>
      <c r="H136" s="429"/>
      <c r="I136" s="429">
        <v>44307</v>
      </c>
      <c r="J136" s="429"/>
      <c r="K136" s="431"/>
      <c r="L136" s="431"/>
      <c r="M136" s="431"/>
      <c r="N136" s="431"/>
      <c r="O136" s="431"/>
      <c r="P136" s="431"/>
      <c r="Q136" s="431"/>
      <c r="R136" s="431"/>
      <c r="S136" s="431"/>
      <c r="T136" s="431"/>
      <c r="U136" s="431"/>
      <c r="V136" s="431"/>
      <c r="W136" s="432" t="s">
        <v>213</v>
      </c>
      <c r="X136" s="429"/>
      <c r="Y136" s="429" t="s">
        <v>205</v>
      </c>
      <c r="Z136" s="292"/>
      <c r="AA136" s="292"/>
      <c r="AB136" s="292" t="s">
        <v>282</v>
      </c>
      <c r="AC136" s="292">
        <v>1225000</v>
      </c>
      <c r="AD136" s="444"/>
      <c r="AE136" s="444"/>
      <c r="AF136" s="444"/>
      <c r="AG136" s="444"/>
      <c r="AH136" s="444"/>
      <c r="AI136" s="443">
        <v>13.5</v>
      </c>
      <c r="AJ136" s="454">
        <v>1225000</v>
      </c>
      <c r="AK136" s="461"/>
      <c r="AL136" s="461"/>
      <c r="AM136" s="461"/>
      <c r="AN136" s="461"/>
      <c r="AO136" s="462"/>
      <c r="AP136" s="461"/>
      <c r="AQ136" s="461"/>
      <c r="AR136" s="461"/>
      <c r="AS136" s="461"/>
      <c r="AT136" s="461"/>
      <c r="AU136" s="461"/>
      <c r="AV136" s="454"/>
      <c r="AW136" s="454"/>
      <c r="AX136" s="456"/>
      <c r="AY136" s="457"/>
      <c r="AZ136" s="463"/>
      <c r="BA136" s="457"/>
      <c r="BB136" s="458">
        <v>1225000</v>
      </c>
      <c r="BC136" s="459"/>
      <c r="BD136" s="457"/>
      <c r="BE136" s="457"/>
      <c r="BF136" s="457"/>
      <c r="BG136" s="457"/>
      <c r="BH136" s="460"/>
      <c r="BI136" s="465"/>
      <c r="BJ136" s="465"/>
      <c r="BK136" s="465">
        <v>10800</v>
      </c>
      <c r="BL136" s="466"/>
      <c r="BM136" s="466"/>
      <c r="BN136" s="466"/>
      <c r="BO136" s="454"/>
      <c r="BP136" s="454"/>
      <c r="BQ136" s="454">
        <v>10800</v>
      </c>
      <c r="BR136" s="454">
        <v>1214200</v>
      </c>
      <c r="CA136" s="439">
        <v>10800</v>
      </c>
      <c r="CB136" s="439">
        <v>11470</v>
      </c>
      <c r="CE136" s="439">
        <v>13500</v>
      </c>
      <c r="CH136" s="439">
        <v>33070</v>
      </c>
      <c r="CI136" s="439">
        <v>33070</v>
      </c>
    </row>
    <row r="137" spans="1:87" s="439" customFormat="1" ht="15.95" customHeight="1">
      <c r="A137" s="445">
        <v>11</v>
      </c>
      <c r="B137" s="70"/>
      <c r="C137" s="70"/>
      <c r="D137" s="70"/>
      <c r="E137" s="340"/>
      <c r="F137" s="446" t="s">
        <v>272</v>
      </c>
      <c r="G137" s="70">
        <v>365</v>
      </c>
      <c r="H137" s="70" t="s">
        <v>204</v>
      </c>
      <c r="I137" s="70">
        <v>43374</v>
      </c>
      <c r="J137" s="70">
        <v>43374</v>
      </c>
      <c r="K137" s="447">
        <v>3</v>
      </c>
      <c r="L137" s="447">
        <v>5</v>
      </c>
      <c r="M137" s="447">
        <v>0</v>
      </c>
      <c r="N137" s="447">
        <v>2</v>
      </c>
      <c r="O137" s="447">
        <v>11</v>
      </c>
      <c r="P137" s="447">
        <v>1</v>
      </c>
      <c r="Q137" s="447"/>
      <c r="R137" s="447"/>
      <c r="S137" s="447"/>
      <c r="T137" s="447">
        <v>2</v>
      </c>
      <c r="U137" s="447">
        <v>11</v>
      </c>
      <c r="V137" s="447">
        <v>1</v>
      </c>
      <c r="W137" s="448"/>
      <c r="X137" s="70">
        <v>43374</v>
      </c>
      <c r="Y137" s="70" t="s">
        <v>205</v>
      </c>
      <c r="Z137" s="87"/>
      <c r="AA137" s="87">
        <v>44439</v>
      </c>
      <c r="AB137" s="87" t="s">
        <v>273</v>
      </c>
      <c r="AC137" s="87">
        <v>1840000</v>
      </c>
      <c r="AD137" s="438"/>
      <c r="AE137" s="438"/>
      <c r="AF137" s="438">
        <v>30</v>
      </c>
      <c r="AG137" s="438">
        <v>30</v>
      </c>
      <c r="AH137" s="438"/>
      <c r="AI137" s="449">
        <v>27.5</v>
      </c>
      <c r="AJ137" s="438">
        <v>1265000</v>
      </c>
      <c r="AK137" s="450"/>
      <c r="AL137" s="450"/>
      <c r="AM137" s="450"/>
      <c r="AN137" s="450"/>
      <c r="AO137" s="438"/>
      <c r="AP137" s="438"/>
      <c r="AQ137" s="450"/>
      <c r="AR137" s="438"/>
      <c r="AS137" s="438"/>
      <c r="AT137" s="438">
        <v>0</v>
      </c>
      <c r="AU137" s="438"/>
      <c r="AV137" s="438">
        <v>140000</v>
      </c>
      <c r="AW137" s="438"/>
      <c r="AX137" s="438"/>
      <c r="AY137" s="438"/>
      <c r="AZ137" s="451"/>
      <c r="BA137" s="438"/>
      <c r="BB137" s="438">
        <v>1405000</v>
      </c>
      <c r="BC137" s="438"/>
      <c r="BD137" s="438">
        <v>1381675</v>
      </c>
      <c r="BE137" s="452"/>
      <c r="BF137" s="436">
        <v>0</v>
      </c>
      <c r="BG137" s="436">
        <v>0</v>
      </c>
      <c r="BH137" s="436">
        <v>47390</v>
      </c>
      <c r="BI137" s="436">
        <v>5450</v>
      </c>
      <c r="BJ137" s="436"/>
      <c r="BK137" s="436">
        <v>11050</v>
      </c>
      <c r="BL137" s="437"/>
      <c r="BM137" s="87"/>
      <c r="BN137" s="437"/>
      <c r="BO137" s="438"/>
      <c r="BP137" s="438"/>
      <c r="BQ137" s="438">
        <v>63890</v>
      </c>
      <c r="BR137" s="438">
        <v>1341110</v>
      </c>
      <c r="BS137" s="439">
        <v>1251341</v>
      </c>
      <c r="BT137" s="439">
        <v>1251341</v>
      </c>
      <c r="BW137" s="439">
        <v>0</v>
      </c>
      <c r="BX137" s="439">
        <v>47390</v>
      </c>
      <c r="BY137" s="439">
        <v>5450</v>
      </c>
      <c r="CA137" s="439">
        <v>11050</v>
      </c>
      <c r="CB137" s="439">
        <v>11740</v>
      </c>
      <c r="CE137" s="439">
        <v>13810</v>
      </c>
      <c r="CF137" s="439">
        <v>89440</v>
      </c>
      <c r="CH137" s="439">
        <v>33840</v>
      </c>
      <c r="CI137" s="439">
        <v>33840</v>
      </c>
    </row>
    <row r="138" spans="1:87" s="439" customFormat="1" ht="15.95" customHeight="1">
      <c r="A138" s="445">
        <v>11</v>
      </c>
      <c r="B138" s="70"/>
      <c r="C138" s="70"/>
      <c r="D138" s="70"/>
      <c r="E138" s="340"/>
      <c r="F138" s="446" t="s">
        <v>272</v>
      </c>
      <c r="G138" s="70">
        <v>365</v>
      </c>
      <c r="H138" s="70" t="s">
        <v>204</v>
      </c>
      <c r="I138" s="70">
        <v>41701</v>
      </c>
      <c r="J138" s="70">
        <v>43160</v>
      </c>
      <c r="K138" s="447">
        <v>4</v>
      </c>
      <c r="L138" s="447">
        <v>0</v>
      </c>
      <c r="M138" s="447">
        <v>0</v>
      </c>
      <c r="N138" s="447">
        <v>3</v>
      </c>
      <c r="O138" s="447">
        <v>6</v>
      </c>
      <c r="P138" s="447">
        <v>1</v>
      </c>
      <c r="Q138" s="447"/>
      <c r="R138" s="447"/>
      <c r="S138" s="447"/>
      <c r="T138" s="447">
        <v>3</v>
      </c>
      <c r="U138" s="447">
        <v>6</v>
      </c>
      <c r="V138" s="447">
        <v>1</v>
      </c>
      <c r="W138" s="448"/>
      <c r="X138" s="70">
        <v>43160</v>
      </c>
      <c r="Y138" s="70" t="s">
        <v>205</v>
      </c>
      <c r="Z138" s="87"/>
      <c r="AA138" s="87">
        <v>49368</v>
      </c>
      <c r="AB138" s="87" t="s">
        <v>274</v>
      </c>
      <c r="AC138" s="87">
        <v>1840000</v>
      </c>
      <c r="AD138" s="438"/>
      <c r="AE138" s="438"/>
      <c r="AF138" s="438">
        <v>30</v>
      </c>
      <c r="AG138" s="438">
        <v>30</v>
      </c>
      <c r="AH138" s="438"/>
      <c r="AI138" s="449">
        <v>20</v>
      </c>
      <c r="AJ138" s="438">
        <v>920000</v>
      </c>
      <c r="AK138" s="450"/>
      <c r="AL138" s="450"/>
      <c r="AM138" s="450"/>
      <c r="AN138" s="450"/>
      <c r="AO138" s="438">
        <v>52500</v>
      </c>
      <c r="AP138" s="438"/>
      <c r="AQ138" s="450"/>
      <c r="AR138" s="438"/>
      <c r="AS138" s="438">
        <v>30000</v>
      </c>
      <c r="AT138" s="438"/>
      <c r="AU138" s="438"/>
      <c r="AV138" s="438">
        <v>140000</v>
      </c>
      <c r="AW138" s="438">
        <v>0</v>
      </c>
      <c r="AX138" s="438"/>
      <c r="AY138" s="438"/>
      <c r="AZ138" s="451"/>
      <c r="BA138" s="438"/>
      <c r="BB138" s="438">
        <v>1142500</v>
      </c>
      <c r="BC138" s="438">
        <v>1101000</v>
      </c>
      <c r="BD138" s="438">
        <v>1119840</v>
      </c>
      <c r="BE138" s="452"/>
      <c r="BF138" s="436">
        <v>0</v>
      </c>
      <c r="BG138" s="436">
        <v>49540</v>
      </c>
      <c r="BH138" s="436">
        <v>38410</v>
      </c>
      <c r="BI138" s="436">
        <v>4420</v>
      </c>
      <c r="BJ138" s="436"/>
      <c r="BK138" s="436">
        <v>8950</v>
      </c>
      <c r="BL138" s="437"/>
      <c r="BM138" s="87">
        <v>0</v>
      </c>
      <c r="BN138" s="437"/>
      <c r="BO138" s="438"/>
      <c r="BP138" s="438"/>
      <c r="BQ138" s="438">
        <v>101320</v>
      </c>
      <c r="BR138" s="438">
        <v>1041180</v>
      </c>
      <c r="BS138" s="439">
        <v>1012061</v>
      </c>
      <c r="BT138" s="439">
        <v>1012061</v>
      </c>
      <c r="BW138" s="439">
        <v>49340</v>
      </c>
      <c r="BX138" s="439">
        <v>38410</v>
      </c>
      <c r="BY138" s="439">
        <v>4420</v>
      </c>
      <c r="CA138" s="439">
        <v>8950</v>
      </c>
      <c r="CB138" s="439">
        <v>9510</v>
      </c>
      <c r="CE138" s="439">
        <v>11190</v>
      </c>
      <c r="CF138" s="439">
        <v>121820</v>
      </c>
      <c r="CH138" s="439">
        <v>27410</v>
      </c>
      <c r="CI138" s="439">
        <v>27410</v>
      </c>
    </row>
    <row r="139" spans="1:87" s="439" customFormat="1" ht="15.95" customHeight="1">
      <c r="A139" s="445">
        <v>11</v>
      </c>
      <c r="B139" s="70"/>
      <c r="C139" s="70"/>
      <c r="D139" s="70"/>
      <c r="E139" s="340"/>
      <c r="F139" s="446" t="s">
        <v>272</v>
      </c>
      <c r="G139" s="70">
        <v>365</v>
      </c>
      <c r="H139" s="70" t="s">
        <v>204</v>
      </c>
      <c r="I139" s="70">
        <v>40970</v>
      </c>
      <c r="J139" s="70">
        <v>40970</v>
      </c>
      <c r="K139" s="447">
        <v>9</v>
      </c>
      <c r="L139" s="447">
        <v>11</v>
      </c>
      <c r="M139" s="447">
        <v>27</v>
      </c>
      <c r="N139" s="447">
        <v>9</v>
      </c>
      <c r="O139" s="447">
        <v>6</v>
      </c>
      <c r="P139" s="447">
        <v>0</v>
      </c>
      <c r="Q139" s="447">
        <v>3</v>
      </c>
      <c r="R139" s="447">
        <v>4</v>
      </c>
      <c r="S139" s="447">
        <v>1</v>
      </c>
      <c r="T139" s="447">
        <v>12</v>
      </c>
      <c r="U139" s="447">
        <v>10</v>
      </c>
      <c r="V139" s="447">
        <v>1</v>
      </c>
      <c r="W139" s="448"/>
      <c r="X139" s="70">
        <v>41335</v>
      </c>
      <c r="Y139" s="70" t="s">
        <v>205</v>
      </c>
      <c r="Z139" s="87"/>
      <c r="AA139" s="87">
        <v>52109</v>
      </c>
      <c r="AB139" s="87" t="s">
        <v>275</v>
      </c>
      <c r="AC139" s="87">
        <v>1840000</v>
      </c>
      <c r="AD139" s="438"/>
      <c r="AE139" s="438"/>
      <c r="AF139" s="438">
        <v>30</v>
      </c>
      <c r="AG139" s="438">
        <v>30</v>
      </c>
      <c r="AH139" s="438"/>
      <c r="AI139" s="449">
        <v>25</v>
      </c>
      <c r="AJ139" s="438">
        <v>1150000</v>
      </c>
      <c r="AK139" s="450"/>
      <c r="AL139" s="450"/>
      <c r="AM139" s="450"/>
      <c r="AN139" s="450"/>
      <c r="AO139" s="438">
        <v>262500</v>
      </c>
      <c r="AP139" s="438"/>
      <c r="AQ139" s="450"/>
      <c r="AR139" s="438"/>
      <c r="AS139" s="438">
        <v>37500</v>
      </c>
      <c r="AT139" s="438"/>
      <c r="AU139" s="438">
        <v>0</v>
      </c>
      <c r="AV139" s="438">
        <v>140000</v>
      </c>
      <c r="AW139" s="438">
        <v>0</v>
      </c>
      <c r="AX139" s="438"/>
      <c r="AY139" s="438"/>
      <c r="AZ139" s="451"/>
      <c r="BA139" s="438"/>
      <c r="BB139" s="438">
        <v>1590000</v>
      </c>
      <c r="BC139" s="438">
        <v>1551000</v>
      </c>
      <c r="BD139" s="438">
        <v>1577480</v>
      </c>
      <c r="BE139" s="452"/>
      <c r="BF139" s="436">
        <v>0</v>
      </c>
      <c r="BG139" s="436">
        <v>69790</v>
      </c>
      <c r="BH139" s="436">
        <v>54100</v>
      </c>
      <c r="BI139" s="436">
        <v>6230</v>
      </c>
      <c r="BJ139" s="436"/>
      <c r="BK139" s="436">
        <v>12610</v>
      </c>
      <c r="BL139" s="437"/>
      <c r="BM139" s="87">
        <v>0</v>
      </c>
      <c r="BN139" s="437"/>
      <c r="BO139" s="438"/>
      <c r="BP139" s="438"/>
      <c r="BQ139" s="438">
        <v>142730</v>
      </c>
      <c r="BR139" s="438">
        <v>1447270</v>
      </c>
      <c r="BS139" s="439">
        <v>1512783</v>
      </c>
      <c r="BT139" s="439">
        <v>1512783</v>
      </c>
      <c r="BW139" s="439">
        <v>69790</v>
      </c>
      <c r="BX139" s="439">
        <v>54100</v>
      </c>
      <c r="BY139" s="439">
        <v>6230</v>
      </c>
      <c r="CA139" s="439">
        <v>12610</v>
      </c>
      <c r="CB139" s="439">
        <v>13400</v>
      </c>
      <c r="CE139" s="439">
        <v>15770</v>
      </c>
      <c r="CF139" s="439">
        <v>171900</v>
      </c>
      <c r="CH139" s="439">
        <v>38620</v>
      </c>
      <c r="CI139" s="439">
        <v>38620</v>
      </c>
    </row>
    <row r="140" spans="1:87" s="439" customFormat="1" ht="15.95" customHeight="1">
      <c r="A140" s="445">
        <v>11</v>
      </c>
      <c r="B140" s="69" t="s">
        <v>483</v>
      </c>
      <c r="C140" s="70"/>
      <c r="D140" s="70"/>
      <c r="E140" s="340"/>
      <c r="F140" s="446" t="s">
        <v>207</v>
      </c>
      <c r="G140" s="70">
        <v>300</v>
      </c>
      <c r="H140" s="70" t="s">
        <v>276</v>
      </c>
      <c r="I140" s="70">
        <v>36564</v>
      </c>
      <c r="J140" s="70">
        <v>39356</v>
      </c>
      <c r="K140" s="447">
        <v>14</v>
      </c>
      <c r="L140" s="447">
        <v>5</v>
      </c>
      <c r="M140" s="447">
        <v>0</v>
      </c>
      <c r="N140" s="447">
        <v>21</v>
      </c>
      <c r="O140" s="447">
        <v>6</v>
      </c>
      <c r="P140" s="447">
        <v>24</v>
      </c>
      <c r="Q140" s="447">
        <v>3</v>
      </c>
      <c r="R140" s="447">
        <v>2</v>
      </c>
      <c r="S140" s="447">
        <v>29</v>
      </c>
      <c r="T140" s="447">
        <v>24</v>
      </c>
      <c r="U140" s="447">
        <v>9</v>
      </c>
      <c r="V140" s="447">
        <v>23</v>
      </c>
      <c r="W140" s="448"/>
      <c r="X140" s="70">
        <v>39356</v>
      </c>
      <c r="Y140" s="70" t="s">
        <v>205</v>
      </c>
      <c r="Z140" s="87"/>
      <c r="AA140" s="87">
        <v>44804</v>
      </c>
      <c r="AB140" s="87" t="s">
        <v>206</v>
      </c>
      <c r="AC140" s="87">
        <v>1840000</v>
      </c>
      <c r="AD140" s="438"/>
      <c r="AE140" s="438">
        <v>30</v>
      </c>
      <c r="AF140" s="438">
        <v>30</v>
      </c>
      <c r="AG140" s="438">
        <v>30</v>
      </c>
      <c r="AH140" s="438" t="s">
        <v>277</v>
      </c>
      <c r="AI140" s="449">
        <v>40</v>
      </c>
      <c r="AJ140" s="438">
        <v>1840000</v>
      </c>
      <c r="AK140" s="450"/>
      <c r="AL140" s="450"/>
      <c r="AM140" s="450"/>
      <c r="AN140" s="450"/>
      <c r="AO140" s="438">
        <v>700000</v>
      </c>
      <c r="AP140" s="438"/>
      <c r="AQ140" s="450"/>
      <c r="AR140" s="438"/>
      <c r="AS140" s="438">
        <v>40000</v>
      </c>
      <c r="AT140" s="438"/>
      <c r="AU140" s="438">
        <v>50000</v>
      </c>
      <c r="AV140" s="438">
        <v>140000</v>
      </c>
      <c r="AW140" s="438">
        <v>0</v>
      </c>
      <c r="AX140" s="438"/>
      <c r="AY140" s="438"/>
      <c r="AZ140" s="451"/>
      <c r="BA140" s="438"/>
      <c r="BB140" s="438">
        <v>2770000</v>
      </c>
      <c r="BC140" s="438">
        <v>2363000</v>
      </c>
      <c r="BD140" s="438">
        <v>2403090</v>
      </c>
      <c r="BE140" s="452"/>
      <c r="BF140" s="436">
        <v>0</v>
      </c>
      <c r="BG140" s="436">
        <v>106330</v>
      </c>
      <c r="BH140" s="436">
        <v>82420</v>
      </c>
      <c r="BI140" s="436">
        <v>9490</v>
      </c>
      <c r="BJ140" s="436"/>
      <c r="BK140" s="436">
        <v>19050</v>
      </c>
      <c r="BL140" s="437"/>
      <c r="BM140" s="87">
        <v>900000</v>
      </c>
      <c r="BN140" s="437">
        <v>0</v>
      </c>
      <c r="BO140" s="438"/>
      <c r="BP140" s="438"/>
      <c r="BQ140" s="438">
        <v>1117290</v>
      </c>
      <c r="BR140" s="438">
        <v>1652710</v>
      </c>
      <c r="BS140" s="439">
        <v>2381250</v>
      </c>
      <c r="BT140" s="439">
        <v>2381250</v>
      </c>
      <c r="BW140" s="439">
        <v>106330</v>
      </c>
      <c r="BX140" s="439">
        <v>82420</v>
      </c>
      <c r="BY140" s="439">
        <v>9490</v>
      </c>
      <c r="CA140" s="439">
        <v>19050</v>
      </c>
      <c r="CB140" s="439">
        <v>20240</v>
      </c>
      <c r="CE140" s="439">
        <v>23810</v>
      </c>
      <c r="CF140" s="439">
        <v>261340</v>
      </c>
      <c r="CH140" s="439">
        <v>58340</v>
      </c>
      <c r="CI140" s="439">
        <v>58340</v>
      </c>
    </row>
    <row r="141" spans="1:87" s="439" customFormat="1" ht="15.95" customHeight="1">
      <c r="A141" s="445">
        <v>11</v>
      </c>
      <c r="B141" s="69" t="s">
        <v>484</v>
      </c>
      <c r="C141" s="70"/>
      <c r="D141" s="70"/>
      <c r="E141" s="340"/>
      <c r="F141" s="446" t="s">
        <v>207</v>
      </c>
      <c r="G141" s="70">
        <v>300</v>
      </c>
      <c r="H141" s="70" t="s">
        <v>276</v>
      </c>
      <c r="I141" s="70">
        <v>38777</v>
      </c>
      <c r="J141" s="70">
        <v>38777</v>
      </c>
      <c r="K141" s="447">
        <v>16</v>
      </c>
      <c r="L141" s="447">
        <v>0</v>
      </c>
      <c r="M141" s="447">
        <v>0</v>
      </c>
      <c r="N141" s="447">
        <v>15</v>
      </c>
      <c r="O141" s="447">
        <v>6</v>
      </c>
      <c r="P141" s="447">
        <v>1</v>
      </c>
      <c r="Q141" s="447">
        <v>2</v>
      </c>
      <c r="R141" s="447">
        <v>6</v>
      </c>
      <c r="S141" s="447">
        <v>13</v>
      </c>
      <c r="T141" s="447">
        <v>18</v>
      </c>
      <c r="U141" s="447">
        <v>0</v>
      </c>
      <c r="V141" s="447">
        <v>14</v>
      </c>
      <c r="W141" s="448"/>
      <c r="X141" s="70">
        <v>40087</v>
      </c>
      <c r="Y141" s="70" t="s">
        <v>205</v>
      </c>
      <c r="Z141" s="87"/>
      <c r="AA141" s="87">
        <v>45716</v>
      </c>
      <c r="AB141" s="87" t="s">
        <v>206</v>
      </c>
      <c r="AC141" s="87">
        <v>1840000</v>
      </c>
      <c r="AD141" s="438"/>
      <c r="AE141" s="438">
        <v>30</v>
      </c>
      <c r="AF141" s="438">
        <v>30</v>
      </c>
      <c r="AG141" s="438">
        <v>30</v>
      </c>
      <c r="AH141" s="438" t="s">
        <v>277</v>
      </c>
      <c r="AI141" s="449">
        <v>40</v>
      </c>
      <c r="AJ141" s="438">
        <v>1840000</v>
      </c>
      <c r="AK141" s="450"/>
      <c r="AL141" s="450"/>
      <c r="AM141" s="450"/>
      <c r="AN141" s="450"/>
      <c r="AO141" s="438">
        <v>630000</v>
      </c>
      <c r="AP141" s="438"/>
      <c r="AQ141" s="450"/>
      <c r="AR141" s="438"/>
      <c r="AS141" s="438">
        <v>40000</v>
      </c>
      <c r="AT141" s="438"/>
      <c r="AU141" s="438">
        <v>50000</v>
      </c>
      <c r="AV141" s="438">
        <v>140000</v>
      </c>
      <c r="AW141" s="438">
        <v>0</v>
      </c>
      <c r="AX141" s="438"/>
      <c r="AY141" s="438"/>
      <c r="AZ141" s="451"/>
      <c r="BA141" s="438"/>
      <c r="BB141" s="438">
        <v>2700000</v>
      </c>
      <c r="BC141" s="438">
        <v>2419000</v>
      </c>
      <c r="BD141" s="438">
        <v>2515409</v>
      </c>
      <c r="BE141" s="452"/>
      <c r="BF141" s="436">
        <v>0</v>
      </c>
      <c r="BG141" s="436">
        <v>108850</v>
      </c>
      <c r="BH141" s="436">
        <v>84380</v>
      </c>
      <c r="BI141" s="436">
        <v>9720</v>
      </c>
      <c r="BJ141" s="436"/>
      <c r="BK141" s="436">
        <v>19680</v>
      </c>
      <c r="BL141" s="437"/>
      <c r="BM141" s="87">
        <v>900000</v>
      </c>
      <c r="BN141" s="437"/>
      <c r="BO141" s="438"/>
      <c r="BP141" s="438"/>
      <c r="BQ141" s="438">
        <v>1122630</v>
      </c>
      <c r="BR141" s="438">
        <v>1577370</v>
      </c>
      <c r="BS141" s="439">
        <v>2469240</v>
      </c>
      <c r="BT141" s="439">
        <v>2469240</v>
      </c>
      <c r="BW141" s="439">
        <v>108850</v>
      </c>
      <c r="BX141" s="439">
        <v>84380</v>
      </c>
      <c r="BY141" s="439">
        <v>9720</v>
      </c>
      <c r="CA141" s="439">
        <v>19680</v>
      </c>
      <c r="CB141" s="439">
        <v>20910</v>
      </c>
      <c r="CE141" s="439">
        <v>24600</v>
      </c>
      <c r="CF141" s="439">
        <v>268140</v>
      </c>
      <c r="CH141" s="439">
        <v>60270</v>
      </c>
      <c r="CI141" s="439">
        <v>60270</v>
      </c>
    </row>
    <row r="142" spans="1:87" s="439" customFormat="1" ht="15.95" customHeight="1">
      <c r="A142" s="445">
        <v>11</v>
      </c>
      <c r="B142" s="69" t="s">
        <v>428</v>
      </c>
      <c r="C142" s="70"/>
      <c r="D142" s="70"/>
      <c r="E142" s="340"/>
      <c r="F142" s="446" t="s">
        <v>207</v>
      </c>
      <c r="G142" s="70">
        <v>300</v>
      </c>
      <c r="H142" s="70" t="s">
        <v>204</v>
      </c>
      <c r="I142" s="70">
        <v>38022</v>
      </c>
      <c r="J142" s="70">
        <v>38047</v>
      </c>
      <c r="K142" s="447">
        <v>18</v>
      </c>
      <c r="L142" s="447">
        <v>0</v>
      </c>
      <c r="M142" s="447">
        <v>0</v>
      </c>
      <c r="N142" s="447">
        <v>17</v>
      </c>
      <c r="O142" s="447">
        <v>6</v>
      </c>
      <c r="P142" s="447">
        <v>27</v>
      </c>
      <c r="Q142" s="447">
        <v>6</v>
      </c>
      <c r="R142" s="447">
        <v>6</v>
      </c>
      <c r="S142" s="447">
        <v>25</v>
      </c>
      <c r="T142" s="447">
        <v>24</v>
      </c>
      <c r="U142" s="447">
        <v>1</v>
      </c>
      <c r="V142" s="447">
        <v>22</v>
      </c>
      <c r="W142" s="448"/>
      <c r="X142" s="70">
        <v>39356</v>
      </c>
      <c r="Y142" s="70" t="s">
        <v>205</v>
      </c>
      <c r="Z142" s="87"/>
      <c r="AA142" s="87">
        <v>45716</v>
      </c>
      <c r="AB142" s="87" t="s">
        <v>206</v>
      </c>
      <c r="AC142" s="87">
        <v>1840000</v>
      </c>
      <c r="AD142" s="438"/>
      <c r="AE142" s="438">
        <v>30</v>
      </c>
      <c r="AF142" s="438">
        <v>30</v>
      </c>
      <c r="AG142" s="438">
        <v>30</v>
      </c>
      <c r="AH142" s="438" t="s">
        <v>277</v>
      </c>
      <c r="AI142" s="449">
        <v>40</v>
      </c>
      <c r="AJ142" s="438">
        <v>1840000</v>
      </c>
      <c r="AK142" s="450"/>
      <c r="AL142" s="450"/>
      <c r="AM142" s="450"/>
      <c r="AN142" s="450"/>
      <c r="AO142" s="438">
        <v>700000</v>
      </c>
      <c r="AP142" s="438"/>
      <c r="AQ142" s="450"/>
      <c r="AR142" s="438"/>
      <c r="AS142" s="438"/>
      <c r="AT142" s="438"/>
      <c r="AU142" s="438">
        <v>50000</v>
      </c>
      <c r="AV142" s="438">
        <v>140000</v>
      </c>
      <c r="AW142" s="438">
        <v>0</v>
      </c>
      <c r="AX142" s="438"/>
      <c r="AY142" s="438"/>
      <c r="AZ142" s="451"/>
      <c r="BA142" s="438"/>
      <c r="BB142" s="438">
        <v>2730000</v>
      </c>
      <c r="BC142" s="438">
        <v>2500000</v>
      </c>
      <c r="BD142" s="438">
        <v>2384000</v>
      </c>
      <c r="BE142" s="452"/>
      <c r="BF142" s="436">
        <v>0</v>
      </c>
      <c r="BG142" s="436">
        <v>112500</v>
      </c>
      <c r="BH142" s="436">
        <v>87190</v>
      </c>
      <c r="BI142" s="436">
        <v>10040</v>
      </c>
      <c r="BJ142" s="436"/>
      <c r="BK142" s="436">
        <v>20330</v>
      </c>
      <c r="BL142" s="437"/>
      <c r="BM142" s="87">
        <v>600000</v>
      </c>
      <c r="BN142" s="437"/>
      <c r="BO142" s="438"/>
      <c r="BP142" s="438"/>
      <c r="BQ142" s="438">
        <v>830060</v>
      </c>
      <c r="BR142" s="438">
        <v>1899940</v>
      </c>
      <c r="BS142" s="439">
        <v>2417475</v>
      </c>
      <c r="BT142" s="439">
        <v>2417475</v>
      </c>
      <c r="BW142" s="439">
        <v>112500</v>
      </c>
      <c r="BX142" s="439">
        <v>87190</v>
      </c>
      <c r="BY142" s="439">
        <v>10040</v>
      </c>
      <c r="CA142" s="439">
        <v>20330</v>
      </c>
      <c r="CB142" s="439">
        <v>21600</v>
      </c>
      <c r="CE142" s="439">
        <v>25420</v>
      </c>
      <c r="CF142" s="439">
        <v>277080</v>
      </c>
      <c r="CH142" s="439">
        <v>62260</v>
      </c>
      <c r="CI142" s="439">
        <v>62260</v>
      </c>
    </row>
    <row r="143" spans="1:87" s="439" customFormat="1" ht="15.95" customHeight="1">
      <c r="A143" s="445">
        <v>11</v>
      </c>
      <c r="B143" s="69" t="s">
        <v>429</v>
      </c>
      <c r="C143" s="70"/>
      <c r="D143" s="70"/>
      <c r="E143" s="340"/>
      <c r="F143" s="446" t="s">
        <v>207</v>
      </c>
      <c r="G143" s="70">
        <v>300</v>
      </c>
      <c r="H143" s="70" t="s">
        <v>276</v>
      </c>
      <c r="I143" s="70">
        <v>38018</v>
      </c>
      <c r="J143" s="70">
        <v>38047</v>
      </c>
      <c r="K143" s="447">
        <v>18</v>
      </c>
      <c r="L143" s="447">
        <v>0</v>
      </c>
      <c r="M143" s="447">
        <v>0</v>
      </c>
      <c r="N143" s="447">
        <v>17</v>
      </c>
      <c r="O143" s="447">
        <v>7</v>
      </c>
      <c r="P143" s="447">
        <v>1</v>
      </c>
      <c r="Q143" s="447">
        <v>8</v>
      </c>
      <c r="R143" s="447">
        <v>6</v>
      </c>
      <c r="S143" s="447">
        <v>14</v>
      </c>
      <c r="T143" s="447">
        <v>26</v>
      </c>
      <c r="U143" s="447">
        <v>1</v>
      </c>
      <c r="V143" s="447">
        <v>15</v>
      </c>
      <c r="W143" s="448"/>
      <c r="X143" s="70">
        <v>39356</v>
      </c>
      <c r="Y143" s="70" t="s">
        <v>205</v>
      </c>
      <c r="Z143" s="87"/>
      <c r="AA143" s="87">
        <v>45900</v>
      </c>
      <c r="AB143" s="87" t="s">
        <v>206</v>
      </c>
      <c r="AC143" s="87">
        <v>1840000</v>
      </c>
      <c r="AD143" s="438"/>
      <c r="AE143" s="438">
        <v>30</v>
      </c>
      <c r="AF143" s="438">
        <v>30</v>
      </c>
      <c r="AG143" s="438">
        <v>30</v>
      </c>
      <c r="AH143" s="438" t="s">
        <v>277</v>
      </c>
      <c r="AI143" s="449">
        <v>40</v>
      </c>
      <c r="AJ143" s="438">
        <v>1840000</v>
      </c>
      <c r="AK143" s="450"/>
      <c r="AL143" s="450"/>
      <c r="AM143" s="450"/>
      <c r="AN143" s="450"/>
      <c r="AO143" s="438">
        <v>700000</v>
      </c>
      <c r="AP143" s="438"/>
      <c r="AQ143" s="450"/>
      <c r="AR143" s="438"/>
      <c r="AS143" s="438">
        <v>40000</v>
      </c>
      <c r="AT143" s="438"/>
      <c r="AU143" s="438">
        <v>50000</v>
      </c>
      <c r="AV143" s="438">
        <v>140000</v>
      </c>
      <c r="AW143" s="438">
        <v>0</v>
      </c>
      <c r="AX143" s="438"/>
      <c r="AY143" s="438"/>
      <c r="AZ143" s="451"/>
      <c r="BA143" s="438"/>
      <c r="BB143" s="438">
        <v>2770000</v>
      </c>
      <c r="BC143" s="438">
        <v>2431000</v>
      </c>
      <c r="BD143" s="438">
        <v>2472056</v>
      </c>
      <c r="BE143" s="452"/>
      <c r="BF143" s="436">
        <v>0</v>
      </c>
      <c r="BG143" s="436">
        <v>109390</v>
      </c>
      <c r="BH143" s="436">
        <v>84790</v>
      </c>
      <c r="BI143" s="436">
        <v>9760</v>
      </c>
      <c r="BJ143" s="436"/>
      <c r="BK143" s="436">
        <v>19770</v>
      </c>
      <c r="BL143" s="437"/>
      <c r="BM143" s="87">
        <v>600000</v>
      </c>
      <c r="BN143" s="437"/>
      <c r="BO143" s="438"/>
      <c r="BP143" s="438"/>
      <c r="BQ143" s="438">
        <v>823710</v>
      </c>
      <c r="BR143" s="438">
        <v>1946290</v>
      </c>
      <c r="BS143" s="439">
        <v>2601100</v>
      </c>
      <c r="BT143" s="439">
        <v>2601100</v>
      </c>
      <c r="BW143" s="439">
        <v>109390</v>
      </c>
      <c r="BX143" s="439">
        <v>84790</v>
      </c>
      <c r="BY143" s="439">
        <v>9760</v>
      </c>
      <c r="CA143" s="439">
        <v>19770</v>
      </c>
      <c r="CB143" s="439">
        <v>21010</v>
      </c>
      <c r="CE143" s="439">
        <v>24720</v>
      </c>
      <c r="CF143" s="439">
        <v>269440</v>
      </c>
      <c r="CH143" s="439">
        <v>60550</v>
      </c>
      <c r="CI143" s="439">
        <v>60550</v>
      </c>
    </row>
    <row r="144" spans="1:87" s="439" customFormat="1" ht="15.95" customHeight="1">
      <c r="A144" s="445">
        <v>11</v>
      </c>
      <c r="B144" s="69" t="s">
        <v>430</v>
      </c>
      <c r="C144" s="70"/>
      <c r="D144" s="70"/>
      <c r="E144" s="340"/>
      <c r="F144" s="446" t="s">
        <v>207</v>
      </c>
      <c r="G144" s="70">
        <v>365</v>
      </c>
      <c r="H144" s="70" t="s">
        <v>204</v>
      </c>
      <c r="I144" s="70">
        <v>42795</v>
      </c>
      <c r="J144" s="70">
        <v>43891</v>
      </c>
      <c r="K144" s="447">
        <v>2</v>
      </c>
      <c r="L144" s="447">
        <v>0</v>
      </c>
      <c r="M144" s="447">
        <v>0</v>
      </c>
      <c r="N144" s="447">
        <v>1</v>
      </c>
      <c r="O144" s="447">
        <v>6</v>
      </c>
      <c r="P144" s="447">
        <v>1</v>
      </c>
      <c r="Q144" s="447"/>
      <c r="R144" s="447"/>
      <c r="S144" s="447"/>
      <c r="T144" s="447">
        <v>1</v>
      </c>
      <c r="U144" s="447">
        <v>6</v>
      </c>
      <c r="V144" s="447">
        <v>1</v>
      </c>
      <c r="W144" s="448"/>
      <c r="X144" s="70">
        <v>43160</v>
      </c>
      <c r="Y144" s="70" t="s">
        <v>205</v>
      </c>
      <c r="Z144" s="87"/>
      <c r="AA144" s="87">
        <v>48638</v>
      </c>
      <c r="AB144" s="87" t="s">
        <v>274</v>
      </c>
      <c r="AC144" s="87">
        <v>920000</v>
      </c>
      <c r="AD144" s="438"/>
      <c r="AE144" s="438"/>
      <c r="AF144" s="438">
        <v>30</v>
      </c>
      <c r="AG144" s="438">
        <v>30</v>
      </c>
      <c r="AH144" s="438"/>
      <c r="AI144" s="449">
        <v>20</v>
      </c>
      <c r="AJ144" s="438">
        <v>920000</v>
      </c>
      <c r="AK144" s="450"/>
      <c r="AL144" s="450"/>
      <c r="AM144" s="450"/>
      <c r="AN144" s="450"/>
      <c r="AO144" s="450">
        <v>17500</v>
      </c>
      <c r="AP144" s="438"/>
      <c r="AQ144" s="450"/>
      <c r="AR144" s="438"/>
      <c r="AS144" s="438"/>
      <c r="AT144" s="438"/>
      <c r="AU144" s="438"/>
      <c r="AV144" s="438">
        <v>140000</v>
      </c>
      <c r="AW144" s="438">
        <v>0</v>
      </c>
      <c r="AX144" s="438"/>
      <c r="AY144" s="438"/>
      <c r="AZ144" s="451"/>
      <c r="BA144" s="438"/>
      <c r="BB144" s="438">
        <v>1077500</v>
      </c>
      <c r="BC144" s="438">
        <v>694000</v>
      </c>
      <c r="BD144" s="438">
        <v>706055</v>
      </c>
      <c r="BE144" s="452"/>
      <c r="BF144" s="436">
        <v>0</v>
      </c>
      <c r="BG144" s="436">
        <v>31230</v>
      </c>
      <c r="BH144" s="436">
        <v>24210</v>
      </c>
      <c r="BI144" s="436">
        <v>2780</v>
      </c>
      <c r="BJ144" s="436"/>
      <c r="BK144" s="436">
        <v>5640</v>
      </c>
      <c r="BL144" s="437"/>
      <c r="BM144" s="87"/>
      <c r="BN144" s="437"/>
      <c r="BO144" s="438"/>
      <c r="BP144" s="438"/>
      <c r="BQ144" s="438">
        <v>63860</v>
      </c>
      <c r="BR144" s="438">
        <v>1013640</v>
      </c>
      <c r="BS144" s="439">
        <v>860666</v>
      </c>
      <c r="BT144" s="439">
        <v>860666</v>
      </c>
      <c r="BW144" s="439">
        <v>31230</v>
      </c>
      <c r="BX144" s="439">
        <v>24210</v>
      </c>
      <c r="BY144" s="439">
        <v>2780</v>
      </c>
      <c r="CA144" s="439">
        <v>5640</v>
      </c>
      <c r="CB144" s="439">
        <v>6000</v>
      </c>
      <c r="CE144" s="439">
        <v>7060</v>
      </c>
      <c r="CF144" s="439">
        <v>76920</v>
      </c>
      <c r="CH144" s="439">
        <v>17280</v>
      </c>
      <c r="CI144" s="439">
        <v>17280</v>
      </c>
    </row>
    <row r="145" spans="1:87" s="439" customFormat="1" ht="15.95" customHeight="1">
      <c r="A145" s="445">
        <v>11</v>
      </c>
      <c r="B145" s="69" t="s">
        <v>431</v>
      </c>
      <c r="C145" s="70"/>
      <c r="D145" s="70"/>
      <c r="E145" s="340"/>
      <c r="F145" s="446" t="s">
        <v>207</v>
      </c>
      <c r="G145" s="70">
        <v>365</v>
      </c>
      <c r="H145" s="70" t="s">
        <v>204</v>
      </c>
      <c r="I145" s="70">
        <v>42795</v>
      </c>
      <c r="J145" s="70">
        <v>43891</v>
      </c>
      <c r="K145" s="447">
        <v>2</v>
      </c>
      <c r="L145" s="447">
        <v>0</v>
      </c>
      <c r="M145" s="447">
        <v>0</v>
      </c>
      <c r="N145" s="447">
        <v>1</v>
      </c>
      <c r="O145" s="447">
        <v>6</v>
      </c>
      <c r="P145" s="447">
        <v>1</v>
      </c>
      <c r="Q145" s="447"/>
      <c r="R145" s="447"/>
      <c r="S145" s="447"/>
      <c r="T145" s="447">
        <v>1</v>
      </c>
      <c r="U145" s="447">
        <v>6</v>
      </c>
      <c r="V145" s="447">
        <v>1</v>
      </c>
      <c r="W145" s="448"/>
      <c r="X145" s="70">
        <v>43160</v>
      </c>
      <c r="Y145" s="70" t="s">
        <v>205</v>
      </c>
      <c r="Z145" s="87"/>
      <c r="AA145" s="87">
        <v>48091</v>
      </c>
      <c r="AB145" s="87" t="s">
        <v>274</v>
      </c>
      <c r="AC145" s="87">
        <v>920000</v>
      </c>
      <c r="AD145" s="438"/>
      <c r="AE145" s="438"/>
      <c r="AF145" s="438">
        <v>30</v>
      </c>
      <c r="AG145" s="438">
        <v>30</v>
      </c>
      <c r="AH145" s="438"/>
      <c r="AI145" s="449">
        <v>20</v>
      </c>
      <c r="AJ145" s="438">
        <v>920000</v>
      </c>
      <c r="AK145" s="450"/>
      <c r="AL145" s="450"/>
      <c r="AM145" s="450"/>
      <c r="AN145" s="450"/>
      <c r="AO145" s="450">
        <v>17500</v>
      </c>
      <c r="AP145" s="438"/>
      <c r="AQ145" s="450"/>
      <c r="AR145" s="438"/>
      <c r="AS145" s="438">
        <v>20000</v>
      </c>
      <c r="AT145" s="438"/>
      <c r="AU145" s="438"/>
      <c r="AV145" s="438">
        <v>140000</v>
      </c>
      <c r="AW145" s="438">
        <v>0</v>
      </c>
      <c r="AX145" s="438"/>
      <c r="AY145" s="438"/>
      <c r="AZ145" s="451"/>
      <c r="BA145" s="438"/>
      <c r="BB145" s="438">
        <v>1097500</v>
      </c>
      <c r="BC145" s="438">
        <v>720000</v>
      </c>
      <c r="BD145" s="438">
        <v>732315</v>
      </c>
      <c r="BE145" s="452"/>
      <c r="BF145" s="436">
        <v>0</v>
      </c>
      <c r="BG145" s="436">
        <v>32400</v>
      </c>
      <c r="BH145" s="436">
        <v>25110</v>
      </c>
      <c r="BI145" s="436">
        <v>2890</v>
      </c>
      <c r="BJ145" s="436"/>
      <c r="BK145" s="436">
        <v>5850</v>
      </c>
      <c r="BL145" s="437"/>
      <c r="BM145" s="87"/>
      <c r="BN145" s="437"/>
      <c r="BO145" s="438"/>
      <c r="BP145" s="438"/>
      <c r="BQ145" s="438">
        <v>66250</v>
      </c>
      <c r="BR145" s="438">
        <v>1031250</v>
      </c>
      <c r="BS145" s="439">
        <v>873416</v>
      </c>
      <c r="BT145" s="439">
        <v>873416</v>
      </c>
      <c r="BW145" s="439">
        <v>32400</v>
      </c>
      <c r="BX145" s="439">
        <v>25110</v>
      </c>
      <c r="BY145" s="439">
        <v>2890</v>
      </c>
      <c r="CA145" s="439">
        <v>5850</v>
      </c>
      <c r="CB145" s="439">
        <v>6220</v>
      </c>
      <c r="CE145" s="439">
        <v>7320</v>
      </c>
      <c r="CF145" s="439">
        <v>79790</v>
      </c>
      <c r="CH145" s="439">
        <v>17920</v>
      </c>
      <c r="CI145" s="439">
        <v>17920</v>
      </c>
    </row>
    <row r="146" spans="1:87" s="439" customFormat="1" ht="15.95" customHeight="1">
      <c r="A146" s="445">
        <v>11</v>
      </c>
      <c r="B146" s="69" t="s">
        <v>432</v>
      </c>
      <c r="C146" s="70"/>
      <c r="D146" s="70"/>
      <c r="E146" s="340"/>
      <c r="F146" s="446" t="s">
        <v>272</v>
      </c>
      <c r="G146" s="70">
        <v>300</v>
      </c>
      <c r="H146" s="70"/>
      <c r="I146" s="70">
        <v>43891</v>
      </c>
      <c r="J146" s="70"/>
      <c r="K146" s="447" t="s">
        <v>278</v>
      </c>
      <c r="L146" s="447" t="s">
        <v>278</v>
      </c>
      <c r="M146" s="447" t="s">
        <v>278</v>
      </c>
      <c r="N146" s="447" t="s">
        <v>278</v>
      </c>
      <c r="O146" s="447" t="s">
        <v>278</v>
      </c>
      <c r="P146" s="447" t="s">
        <v>278</v>
      </c>
      <c r="Q146" s="447"/>
      <c r="R146" s="447"/>
      <c r="S146" s="447"/>
      <c r="T146" s="447">
        <v>0</v>
      </c>
      <c r="U146" s="447">
        <v>0</v>
      </c>
      <c r="V146" s="447">
        <v>0</v>
      </c>
      <c r="W146" s="448" t="s">
        <v>213</v>
      </c>
      <c r="X146" s="70"/>
      <c r="Y146" s="70" t="s">
        <v>205</v>
      </c>
      <c r="Z146" s="87"/>
      <c r="AA146" s="87" t="s">
        <v>279</v>
      </c>
      <c r="AB146" s="87" t="s">
        <v>274</v>
      </c>
      <c r="AC146" s="87">
        <v>2039000</v>
      </c>
      <c r="AD146" s="438"/>
      <c r="AE146" s="438"/>
      <c r="AF146" s="438">
        <v>30</v>
      </c>
      <c r="AG146" s="438">
        <v>30</v>
      </c>
      <c r="AH146" s="438"/>
      <c r="AI146" s="449">
        <v>20</v>
      </c>
      <c r="AJ146" s="438">
        <v>1069500</v>
      </c>
      <c r="AK146" s="450"/>
      <c r="AL146" s="450"/>
      <c r="AM146" s="450">
        <v>125000</v>
      </c>
      <c r="AN146" s="450">
        <v>35000</v>
      </c>
      <c r="AO146" s="450">
        <v>0</v>
      </c>
      <c r="AP146" s="438"/>
      <c r="AQ146" s="450"/>
      <c r="AR146" s="438"/>
      <c r="AS146" s="438">
        <v>70000</v>
      </c>
      <c r="AT146" s="438"/>
      <c r="AU146" s="438"/>
      <c r="AV146" s="438">
        <v>70000</v>
      </c>
      <c r="AW146" s="438"/>
      <c r="AX146" s="438"/>
      <c r="AY146" s="438"/>
      <c r="AZ146" s="451"/>
      <c r="BA146" s="438"/>
      <c r="BB146" s="438">
        <v>1369500</v>
      </c>
      <c r="BC146" s="438">
        <v>1206000</v>
      </c>
      <c r="BD146" s="438">
        <v>1226479</v>
      </c>
      <c r="BE146" s="452"/>
      <c r="BF146" s="436">
        <v>0</v>
      </c>
      <c r="BG146" s="436">
        <v>54270</v>
      </c>
      <c r="BH146" s="436">
        <v>42060</v>
      </c>
      <c r="BI146" s="436">
        <v>4840</v>
      </c>
      <c r="BJ146" s="436"/>
      <c r="BK146" s="436">
        <v>11770</v>
      </c>
      <c r="BL146" s="437"/>
      <c r="BM146" s="437"/>
      <c r="BN146" s="437"/>
      <c r="BO146" s="438"/>
      <c r="BP146" s="438"/>
      <c r="BQ146" s="438">
        <v>112940</v>
      </c>
      <c r="BR146" s="438">
        <v>1256560</v>
      </c>
      <c r="BS146" s="439">
        <v>1471775</v>
      </c>
      <c r="BT146" s="439">
        <v>1471775</v>
      </c>
      <c r="BW146" s="439">
        <v>54270</v>
      </c>
      <c r="BX146" s="439">
        <v>42060</v>
      </c>
      <c r="BY146" s="439">
        <v>4840</v>
      </c>
      <c r="CA146" s="439">
        <v>11770</v>
      </c>
      <c r="CB146" s="439">
        <v>12510</v>
      </c>
      <c r="CE146" s="439">
        <v>14710</v>
      </c>
      <c r="CF146" s="439">
        <v>140160</v>
      </c>
      <c r="CH146" s="439">
        <v>36050</v>
      </c>
      <c r="CI146" s="439">
        <v>36050</v>
      </c>
    </row>
    <row r="147" spans="1:87" s="439" customFormat="1" ht="15.95" customHeight="1">
      <c r="A147" s="445">
        <v>11</v>
      </c>
      <c r="B147" s="69" t="s">
        <v>433</v>
      </c>
      <c r="C147" s="70"/>
      <c r="D147" s="70"/>
      <c r="E147" s="340"/>
      <c r="F147" s="446" t="s">
        <v>203</v>
      </c>
      <c r="G147" s="70">
        <v>365</v>
      </c>
      <c r="H147" s="70"/>
      <c r="I147" s="70">
        <v>44256</v>
      </c>
      <c r="J147" s="70"/>
      <c r="K147" s="447" t="s">
        <v>278</v>
      </c>
      <c r="L147" s="447" t="s">
        <v>278</v>
      </c>
      <c r="M147" s="447" t="s">
        <v>278</v>
      </c>
      <c r="N147" s="447" t="s">
        <v>278</v>
      </c>
      <c r="O147" s="447" t="s">
        <v>278</v>
      </c>
      <c r="P147" s="447" t="s">
        <v>278</v>
      </c>
      <c r="Q147" s="447"/>
      <c r="R147" s="447"/>
      <c r="S147" s="447"/>
      <c r="T147" s="447">
        <v>0</v>
      </c>
      <c r="U147" s="447">
        <v>0</v>
      </c>
      <c r="V147" s="447">
        <v>0</v>
      </c>
      <c r="W147" s="448" t="s">
        <v>213</v>
      </c>
      <c r="X147" s="70"/>
      <c r="Y147" s="70" t="s">
        <v>205</v>
      </c>
      <c r="Z147" s="87"/>
      <c r="AA147" s="87"/>
      <c r="AB147" s="87" t="s">
        <v>280</v>
      </c>
      <c r="AC147" s="87">
        <v>2200000</v>
      </c>
      <c r="AD147" s="438"/>
      <c r="AE147" s="438"/>
      <c r="AF147" s="438">
        <v>30</v>
      </c>
      <c r="AG147" s="438">
        <v>30</v>
      </c>
      <c r="AH147" s="438"/>
      <c r="AI147" s="449">
        <v>40</v>
      </c>
      <c r="AJ147" s="438">
        <v>2200000</v>
      </c>
      <c r="AK147" s="450">
        <v>100000</v>
      </c>
      <c r="AL147" s="450"/>
      <c r="AM147" s="450"/>
      <c r="AN147" s="450"/>
      <c r="AO147" s="450">
        <v>0</v>
      </c>
      <c r="AP147" s="438">
        <v>0</v>
      </c>
      <c r="AQ147" s="450"/>
      <c r="AR147" s="438"/>
      <c r="AS147" s="438"/>
      <c r="AT147" s="438"/>
      <c r="AU147" s="438"/>
      <c r="AV147" s="438"/>
      <c r="AW147" s="438"/>
      <c r="AX147" s="438">
        <v>0</v>
      </c>
      <c r="AY147" s="438"/>
      <c r="AZ147" s="451"/>
      <c r="BA147" s="438"/>
      <c r="BB147" s="438">
        <v>2300000</v>
      </c>
      <c r="BC147" s="438">
        <v>2300000</v>
      </c>
      <c r="BD147" s="438">
        <v>2541660</v>
      </c>
      <c r="BE147" s="452"/>
      <c r="BF147" s="436"/>
      <c r="BG147" s="436">
        <v>114340</v>
      </c>
      <c r="BH147" s="436">
        <v>87170</v>
      </c>
      <c r="BI147" s="436">
        <v>10040</v>
      </c>
      <c r="BJ147" s="436"/>
      <c r="BK147" s="436"/>
      <c r="BL147" s="437"/>
      <c r="BM147" s="437"/>
      <c r="BN147" s="437"/>
      <c r="BO147" s="438"/>
      <c r="BP147" s="438"/>
      <c r="BQ147" s="438">
        <v>211550</v>
      </c>
      <c r="BR147" s="438">
        <v>2088450</v>
      </c>
      <c r="BS147" s="439">
        <v>2300000</v>
      </c>
      <c r="BT147" s="439">
        <v>2300000</v>
      </c>
      <c r="BW147" s="439">
        <v>114340</v>
      </c>
      <c r="BX147" s="439">
        <v>87170</v>
      </c>
      <c r="BY147" s="439">
        <v>10040</v>
      </c>
      <c r="BZ147" s="439">
        <v>0</v>
      </c>
      <c r="CA147" s="439">
        <v>0</v>
      </c>
      <c r="CC147" s="439">
        <v>0</v>
      </c>
      <c r="CE147" s="439">
        <v>25410</v>
      </c>
      <c r="CF147" s="439">
        <v>236960</v>
      </c>
      <c r="CH147" s="439">
        <v>0</v>
      </c>
      <c r="CI147" s="439">
        <v>0</v>
      </c>
    </row>
    <row r="148" spans="1:87" s="439" customFormat="1" ht="15.95" customHeight="1">
      <c r="A148" s="445">
        <v>11</v>
      </c>
      <c r="B148" s="70"/>
      <c r="C148" s="70"/>
      <c r="D148" s="70"/>
      <c r="E148" s="340"/>
      <c r="F148" s="446" t="s">
        <v>272</v>
      </c>
      <c r="G148" s="70">
        <v>365</v>
      </c>
      <c r="H148" s="70"/>
      <c r="I148" s="70"/>
      <c r="J148" s="70"/>
      <c r="K148" s="447"/>
      <c r="L148" s="447"/>
      <c r="M148" s="447"/>
      <c r="N148" s="447"/>
      <c r="O148" s="447"/>
      <c r="P148" s="447"/>
      <c r="Q148" s="447"/>
      <c r="R148" s="447"/>
      <c r="S148" s="447"/>
      <c r="T148" s="447"/>
      <c r="U148" s="447"/>
      <c r="V148" s="447"/>
      <c r="W148" s="448" t="s">
        <v>213</v>
      </c>
      <c r="X148" s="70"/>
      <c r="Y148" s="70" t="s">
        <v>205</v>
      </c>
      <c r="Z148" s="87"/>
      <c r="AA148" s="87" t="s">
        <v>279</v>
      </c>
      <c r="AB148" s="87" t="s">
        <v>281</v>
      </c>
      <c r="AC148" s="87">
        <v>600000</v>
      </c>
      <c r="AD148" s="438"/>
      <c r="AE148" s="438"/>
      <c r="AF148" s="438">
        <v>30</v>
      </c>
      <c r="AG148" s="438">
        <v>30</v>
      </c>
      <c r="AH148" s="438"/>
      <c r="AI148" s="449">
        <v>14</v>
      </c>
      <c r="AJ148" s="438">
        <v>600000</v>
      </c>
      <c r="AK148" s="450"/>
      <c r="AL148" s="450"/>
      <c r="AM148" s="450"/>
      <c r="AN148" s="450"/>
      <c r="AO148" s="450"/>
      <c r="AP148" s="438"/>
      <c r="AQ148" s="450"/>
      <c r="AR148" s="438"/>
      <c r="AS148" s="438"/>
      <c r="AT148" s="438"/>
      <c r="AU148" s="438"/>
      <c r="AV148" s="438"/>
      <c r="AW148" s="438"/>
      <c r="AX148" s="438"/>
      <c r="AY148" s="438"/>
      <c r="AZ148" s="451"/>
      <c r="BA148" s="451"/>
      <c r="BB148" s="438">
        <v>600000</v>
      </c>
      <c r="BC148" s="438"/>
      <c r="BD148" s="438"/>
      <c r="BE148" s="452"/>
      <c r="BF148" s="436">
        <v>0</v>
      </c>
      <c r="BG148" s="436"/>
      <c r="BH148" s="436"/>
      <c r="BI148" s="436"/>
      <c r="BJ148" s="436"/>
      <c r="BK148" s="436">
        <v>0</v>
      </c>
      <c r="BL148" s="437"/>
      <c r="BM148" s="437"/>
      <c r="BN148" s="437"/>
      <c r="BO148" s="438"/>
      <c r="BP148" s="438"/>
      <c r="BQ148" s="438">
        <v>0</v>
      </c>
      <c r="BR148" s="438">
        <v>600000</v>
      </c>
      <c r="BS148" s="439">
        <v>562916</v>
      </c>
      <c r="BT148" s="439">
        <v>562916</v>
      </c>
      <c r="BZ148" s="439">
        <v>0</v>
      </c>
      <c r="CB148" s="439">
        <v>4760</v>
      </c>
      <c r="CC148" s="439">
        <v>0</v>
      </c>
      <c r="CE148" s="439">
        <v>5600</v>
      </c>
      <c r="CF148" s="439">
        <v>10360</v>
      </c>
      <c r="CH148" s="439">
        <v>4760</v>
      </c>
      <c r="CI148" s="439">
        <v>4760</v>
      </c>
    </row>
    <row r="149" spans="1:87" s="439" customFormat="1" ht="15.95" customHeight="1">
      <c r="A149" s="445">
        <v>11</v>
      </c>
      <c r="B149" s="70"/>
      <c r="C149" s="70"/>
      <c r="D149" s="70"/>
      <c r="E149" s="340"/>
      <c r="F149" s="446" t="s">
        <v>271</v>
      </c>
      <c r="G149" s="70"/>
      <c r="H149" s="70"/>
      <c r="I149" s="70">
        <v>44307</v>
      </c>
      <c r="J149" s="70"/>
      <c r="K149" s="447"/>
      <c r="L149" s="447"/>
      <c r="M149" s="447"/>
      <c r="N149" s="447"/>
      <c r="O149" s="447"/>
      <c r="P149" s="447"/>
      <c r="Q149" s="447"/>
      <c r="R149" s="447"/>
      <c r="S149" s="447"/>
      <c r="T149" s="447"/>
      <c r="U149" s="447"/>
      <c r="V149" s="447"/>
      <c r="W149" s="448" t="s">
        <v>213</v>
      </c>
      <c r="X149" s="70"/>
      <c r="Y149" s="70" t="s">
        <v>205</v>
      </c>
      <c r="Z149" s="87"/>
      <c r="AA149" s="87"/>
      <c r="AB149" s="87" t="s">
        <v>282</v>
      </c>
      <c r="AC149" s="87">
        <v>1225000</v>
      </c>
      <c r="AD149" s="438"/>
      <c r="AE149" s="438"/>
      <c r="AF149" s="438"/>
      <c r="AG149" s="438"/>
      <c r="AH149" s="438"/>
      <c r="AI149" s="449">
        <v>13.5</v>
      </c>
      <c r="AJ149" s="438">
        <v>1225000</v>
      </c>
      <c r="AK149" s="450"/>
      <c r="AL149" s="450"/>
      <c r="AM149" s="450"/>
      <c r="AN149" s="450"/>
      <c r="AO149" s="450"/>
      <c r="AP149" s="438"/>
      <c r="AQ149" s="450"/>
      <c r="AR149" s="438"/>
      <c r="AS149" s="438"/>
      <c r="AT149" s="438"/>
      <c r="AU149" s="438"/>
      <c r="AV149" s="438"/>
      <c r="AW149" s="438"/>
      <c r="AX149" s="438"/>
      <c r="AY149" s="438"/>
      <c r="AZ149" s="451"/>
      <c r="BA149" s="451"/>
      <c r="BB149" s="438">
        <v>1225000</v>
      </c>
      <c r="BC149" s="438"/>
      <c r="BD149" s="438"/>
      <c r="BE149" s="452"/>
      <c r="BF149" s="436"/>
      <c r="BG149" s="436"/>
      <c r="BH149" s="436"/>
      <c r="BI149" s="436"/>
      <c r="BJ149" s="436"/>
      <c r="BK149" s="436">
        <v>10800</v>
      </c>
      <c r="BL149" s="437"/>
      <c r="BM149" s="437"/>
      <c r="BN149" s="437"/>
      <c r="BO149" s="438"/>
      <c r="BP149" s="438"/>
      <c r="BQ149" s="438">
        <v>10800</v>
      </c>
      <c r="BR149" s="438">
        <v>1214200</v>
      </c>
      <c r="CA149" s="439">
        <v>10800</v>
      </c>
      <c r="CB149" s="439">
        <v>11470</v>
      </c>
      <c r="CE149" s="439">
        <v>13500</v>
      </c>
      <c r="CH149" s="439">
        <v>33070</v>
      </c>
      <c r="CI149" s="439">
        <v>33070</v>
      </c>
    </row>
    <row r="150" spans="1:87" s="439" customFormat="1" ht="15.95" customHeight="1">
      <c r="A150" s="467"/>
      <c r="B150" s="429"/>
      <c r="C150" s="429"/>
      <c r="D150" s="429"/>
      <c r="E150" s="357"/>
      <c r="F150" s="430"/>
      <c r="G150" s="429"/>
      <c r="H150" s="429"/>
      <c r="I150" s="429"/>
      <c r="J150" s="429"/>
      <c r="K150" s="431"/>
      <c r="L150" s="431"/>
      <c r="M150" s="431"/>
      <c r="N150" s="431"/>
      <c r="O150" s="431"/>
      <c r="P150" s="431"/>
      <c r="Q150" s="431"/>
      <c r="R150" s="431"/>
      <c r="S150" s="431"/>
      <c r="T150" s="431"/>
      <c r="U150" s="431"/>
      <c r="V150" s="431"/>
      <c r="W150" s="432"/>
      <c r="X150" s="429"/>
      <c r="Y150" s="429"/>
      <c r="Z150" s="292"/>
      <c r="AA150" s="292"/>
      <c r="AB150" s="292"/>
      <c r="AC150" s="292"/>
      <c r="AD150" s="433"/>
      <c r="AE150" s="433"/>
      <c r="AF150" s="433"/>
      <c r="AG150" s="433"/>
      <c r="AH150" s="433"/>
      <c r="AI150" s="435"/>
      <c r="AJ150" s="433"/>
      <c r="AK150" s="435"/>
      <c r="AL150" s="435"/>
      <c r="AM150" s="435"/>
      <c r="AN150" s="435"/>
      <c r="AO150" s="435"/>
      <c r="AP150" s="433"/>
      <c r="AQ150" s="435"/>
      <c r="AR150" s="433"/>
      <c r="AS150" s="433"/>
      <c r="AT150" s="433"/>
      <c r="AU150" s="433"/>
      <c r="AV150" s="433"/>
      <c r="AW150" s="433"/>
      <c r="AX150" s="433"/>
      <c r="AY150" s="433"/>
      <c r="AZ150" s="453"/>
      <c r="BA150" s="453"/>
      <c r="BB150" s="433"/>
      <c r="BC150" s="433"/>
      <c r="BD150" s="433"/>
      <c r="BE150" s="433"/>
      <c r="BF150" s="292"/>
      <c r="BG150" s="292"/>
      <c r="BH150" s="292"/>
      <c r="BI150" s="292"/>
      <c r="BJ150" s="292"/>
      <c r="BK150" s="292"/>
      <c r="BL150" s="292"/>
      <c r="BM150" s="292"/>
      <c r="BN150" s="292"/>
      <c r="BO150" s="433"/>
      <c r="BP150" s="433"/>
      <c r="BQ150" s="433"/>
      <c r="BR150" s="433"/>
    </row>
    <row r="151" spans="1:87" s="439" customFormat="1" ht="15.95" customHeight="1">
      <c r="A151" s="467"/>
      <c r="B151" s="429"/>
      <c r="C151" s="429"/>
      <c r="D151" s="429"/>
      <c r="E151" s="357"/>
      <c r="F151" s="430"/>
      <c r="G151" s="429"/>
      <c r="H151" s="429"/>
      <c r="I151" s="429"/>
      <c r="J151" s="429"/>
      <c r="K151" s="431"/>
      <c r="L151" s="431"/>
      <c r="M151" s="431"/>
      <c r="N151" s="431"/>
      <c r="O151" s="431"/>
      <c r="P151" s="431"/>
      <c r="Q151" s="431"/>
      <c r="R151" s="431"/>
      <c r="S151" s="431"/>
      <c r="T151" s="431"/>
      <c r="U151" s="431"/>
      <c r="V151" s="431"/>
      <c r="W151" s="432"/>
      <c r="X151" s="429"/>
      <c r="Y151" s="429"/>
      <c r="Z151" s="292"/>
      <c r="AA151" s="292"/>
      <c r="AB151" s="292"/>
      <c r="AC151" s="292"/>
      <c r="AD151" s="433"/>
      <c r="AE151" s="433"/>
      <c r="AF151" s="433"/>
      <c r="AG151" s="433"/>
      <c r="AH151" s="433"/>
      <c r="AI151" s="435"/>
      <c r="AJ151" s="433"/>
      <c r="AK151" s="435"/>
      <c r="AL151" s="435"/>
      <c r="AM151" s="435"/>
      <c r="AN151" s="435"/>
      <c r="AO151" s="435"/>
      <c r="AP151" s="433"/>
      <c r="AQ151" s="435"/>
      <c r="AR151" s="433"/>
      <c r="AS151" s="433"/>
      <c r="AT151" s="433"/>
      <c r="AU151" s="433"/>
      <c r="AV151" s="433"/>
      <c r="AW151" s="433"/>
      <c r="AX151" s="433"/>
      <c r="AY151" s="433"/>
      <c r="AZ151" s="453"/>
      <c r="BA151" s="453"/>
      <c r="BB151" s="433"/>
      <c r="BC151" s="433"/>
      <c r="BD151" s="433"/>
      <c r="BE151" s="433"/>
      <c r="BF151" s="292"/>
      <c r="BG151" s="292"/>
      <c r="BH151" s="292"/>
      <c r="BI151" s="292"/>
      <c r="BJ151" s="292"/>
      <c r="BK151" s="292"/>
      <c r="BL151" s="292"/>
      <c r="BM151" s="292"/>
      <c r="BN151" s="292"/>
      <c r="BO151" s="433"/>
      <c r="BP151" s="433"/>
      <c r="BQ151" s="433"/>
      <c r="BR151" s="433"/>
    </row>
    <row r="152" spans="1:87" s="439" customFormat="1" ht="15.95" customHeight="1">
      <c r="A152" s="467"/>
      <c r="B152" s="429"/>
      <c r="C152" s="429"/>
      <c r="D152" s="429"/>
      <c r="E152" s="357"/>
      <c r="F152" s="430"/>
      <c r="G152" s="429"/>
      <c r="H152" s="429"/>
      <c r="I152" s="429"/>
      <c r="J152" s="429"/>
      <c r="K152" s="431"/>
      <c r="L152" s="431"/>
      <c r="M152" s="431"/>
      <c r="N152" s="431"/>
      <c r="O152" s="431"/>
      <c r="P152" s="431"/>
      <c r="Q152" s="431"/>
      <c r="R152" s="431"/>
      <c r="S152" s="431"/>
      <c r="T152" s="431"/>
      <c r="U152" s="431"/>
      <c r="V152" s="431"/>
      <c r="W152" s="432"/>
      <c r="X152" s="429"/>
      <c r="Y152" s="429"/>
      <c r="Z152" s="292"/>
      <c r="AA152" s="292"/>
      <c r="AB152" s="292"/>
      <c r="AC152" s="292"/>
      <c r="AD152" s="433"/>
      <c r="AE152" s="433"/>
      <c r="AF152" s="433"/>
      <c r="AG152" s="433"/>
      <c r="AH152" s="433"/>
      <c r="AI152" s="435"/>
      <c r="AJ152" s="433"/>
      <c r="AK152" s="435"/>
      <c r="AL152" s="435"/>
      <c r="AM152" s="435"/>
      <c r="AN152" s="435"/>
      <c r="AO152" s="435"/>
      <c r="AP152" s="433"/>
      <c r="AQ152" s="435"/>
      <c r="AR152" s="433"/>
      <c r="AS152" s="433"/>
      <c r="AT152" s="433"/>
      <c r="AU152" s="433"/>
      <c r="AV152" s="433"/>
      <c r="AW152" s="433"/>
      <c r="AX152" s="433"/>
      <c r="AY152" s="433"/>
      <c r="AZ152" s="453"/>
      <c r="BA152" s="453"/>
      <c r="BB152" s="433"/>
      <c r="BC152" s="433"/>
      <c r="BD152" s="433"/>
      <c r="BE152" s="433"/>
      <c r="BF152" s="292"/>
      <c r="BG152" s="292"/>
      <c r="BH152" s="292"/>
      <c r="BI152" s="292"/>
      <c r="BJ152" s="292"/>
      <c r="BK152" s="292"/>
      <c r="BL152" s="292"/>
      <c r="BM152" s="292"/>
      <c r="BN152" s="292"/>
      <c r="BO152" s="433"/>
      <c r="BP152" s="433"/>
      <c r="BQ152" s="433"/>
      <c r="BR152" s="433"/>
    </row>
    <row r="153" spans="1:87" s="439" customFormat="1" ht="15.95" customHeight="1">
      <c r="A153" s="467"/>
      <c r="B153" s="429"/>
      <c r="C153" s="429"/>
      <c r="D153" s="429"/>
      <c r="E153" s="357"/>
      <c r="F153" s="430"/>
      <c r="G153" s="429"/>
      <c r="H153" s="429"/>
      <c r="I153" s="429"/>
      <c r="J153" s="429"/>
      <c r="K153" s="431"/>
      <c r="L153" s="431"/>
      <c r="M153" s="431"/>
      <c r="N153" s="431"/>
      <c r="O153" s="431"/>
      <c r="P153" s="431"/>
      <c r="Q153" s="431"/>
      <c r="R153" s="431"/>
      <c r="S153" s="431"/>
      <c r="T153" s="431"/>
      <c r="U153" s="431"/>
      <c r="V153" s="431"/>
      <c r="W153" s="432"/>
      <c r="X153" s="429"/>
      <c r="Y153" s="429"/>
      <c r="Z153" s="292"/>
      <c r="AA153" s="292"/>
      <c r="AB153" s="292"/>
      <c r="AC153" s="292"/>
      <c r="AD153" s="433"/>
      <c r="AE153" s="433"/>
      <c r="AF153" s="433"/>
      <c r="AG153" s="433"/>
      <c r="AH153" s="433"/>
      <c r="AI153" s="435"/>
      <c r="AJ153" s="433"/>
      <c r="AK153" s="435"/>
      <c r="AL153" s="435"/>
      <c r="AM153" s="435"/>
      <c r="AN153" s="435"/>
      <c r="AO153" s="435"/>
      <c r="AP153" s="433"/>
      <c r="AQ153" s="435"/>
      <c r="AR153" s="433"/>
      <c r="AS153" s="433"/>
      <c r="AT153" s="433"/>
      <c r="AU153" s="433"/>
      <c r="AV153" s="433"/>
      <c r="AW153" s="433"/>
      <c r="AX153" s="433"/>
      <c r="AY153" s="433"/>
      <c r="AZ153" s="453"/>
      <c r="BA153" s="453"/>
      <c r="BB153" s="433"/>
      <c r="BC153" s="433"/>
      <c r="BD153" s="433"/>
      <c r="BE153" s="433"/>
      <c r="BF153" s="292"/>
      <c r="BG153" s="292"/>
      <c r="BH153" s="292"/>
      <c r="BI153" s="292"/>
      <c r="BJ153" s="292"/>
      <c r="BK153" s="292"/>
      <c r="BL153" s="292"/>
      <c r="BM153" s="292"/>
      <c r="BN153" s="292"/>
      <c r="BO153" s="433"/>
      <c r="BP153" s="433"/>
      <c r="BQ153" s="433"/>
      <c r="BR153" s="433"/>
    </row>
    <row r="154" spans="1:87" s="439" customFormat="1" ht="15.95" customHeight="1">
      <c r="A154" s="548"/>
      <c r="B154" s="549"/>
      <c r="C154" s="549"/>
      <c r="D154" s="549"/>
      <c r="E154" s="550"/>
      <c r="F154" s="551"/>
      <c r="G154" s="549"/>
      <c r="H154" s="549"/>
      <c r="I154" s="549"/>
      <c r="J154" s="549"/>
      <c r="K154" s="552"/>
      <c r="L154" s="552"/>
      <c r="M154" s="552"/>
      <c r="N154" s="552"/>
      <c r="O154" s="552"/>
      <c r="P154" s="552"/>
      <c r="Q154" s="552"/>
      <c r="R154" s="552"/>
      <c r="S154" s="552"/>
      <c r="T154" s="552"/>
      <c r="U154" s="552"/>
      <c r="V154" s="552"/>
      <c r="W154" s="553"/>
      <c r="X154" s="549"/>
      <c r="Y154" s="549"/>
      <c r="Z154" s="554"/>
      <c r="AA154" s="554"/>
      <c r="AB154" s="554"/>
      <c r="AC154" s="554"/>
      <c r="AD154" s="555"/>
      <c r="AE154" s="555"/>
      <c r="AF154" s="555"/>
      <c r="AG154" s="555"/>
      <c r="AH154" s="555"/>
      <c r="AI154" s="556"/>
      <c r="AJ154" s="555"/>
      <c r="AK154" s="556"/>
      <c r="AL154" s="556"/>
      <c r="AM154" s="556"/>
      <c r="AN154" s="556"/>
      <c r="AO154" s="556"/>
      <c r="AP154" s="555"/>
      <c r="AQ154" s="556"/>
      <c r="AR154" s="555"/>
      <c r="AS154" s="555"/>
      <c r="AT154" s="555"/>
      <c r="AU154" s="555"/>
      <c r="AV154" s="555"/>
      <c r="AW154" s="555"/>
      <c r="AX154" s="555"/>
      <c r="AY154" s="555"/>
      <c r="AZ154" s="557"/>
      <c r="BA154" s="557"/>
      <c r="BB154" s="555"/>
      <c r="BC154" s="555"/>
      <c r="BD154" s="555"/>
      <c r="BE154" s="555"/>
      <c r="BF154" s="554"/>
      <c r="BG154" s="554"/>
      <c r="BH154" s="554"/>
      <c r="BI154" s="554"/>
      <c r="BJ154" s="554"/>
      <c r="BK154" s="554"/>
      <c r="BL154" s="554"/>
      <c r="BM154" s="554"/>
      <c r="BN154" s="554"/>
      <c r="BO154" s="555"/>
      <c r="BP154" s="555"/>
      <c r="BQ154" s="555"/>
      <c r="BR154" s="555"/>
    </row>
    <row r="155" spans="1:87" s="439" customFormat="1" ht="15.95" customHeight="1">
      <c r="A155" s="548"/>
      <c r="B155" s="549"/>
      <c r="C155" s="549"/>
      <c r="D155" s="549"/>
      <c r="E155" s="550"/>
      <c r="F155" s="551"/>
      <c r="G155" s="549"/>
      <c r="H155" s="549"/>
      <c r="I155" s="549"/>
      <c r="J155" s="549"/>
      <c r="K155" s="552"/>
      <c r="L155" s="552"/>
      <c r="M155" s="552"/>
      <c r="N155" s="552"/>
      <c r="O155" s="552"/>
      <c r="P155" s="552"/>
      <c r="Q155" s="552"/>
      <c r="R155" s="552"/>
      <c r="S155" s="552"/>
      <c r="T155" s="552"/>
      <c r="U155" s="552"/>
      <c r="V155" s="552"/>
      <c r="W155" s="553"/>
      <c r="X155" s="549"/>
      <c r="Y155" s="549"/>
      <c r="Z155" s="554"/>
      <c r="AA155" s="554"/>
      <c r="AB155" s="554"/>
      <c r="AC155" s="554"/>
      <c r="AD155" s="555"/>
      <c r="AE155" s="555"/>
      <c r="AF155" s="555"/>
      <c r="AG155" s="555"/>
      <c r="AH155" s="555"/>
      <c r="AI155" s="556"/>
      <c r="AJ155" s="555"/>
      <c r="AK155" s="556"/>
      <c r="AL155" s="556"/>
      <c r="AM155" s="556"/>
      <c r="AN155" s="556"/>
      <c r="AO155" s="556"/>
      <c r="AP155" s="555"/>
      <c r="AQ155" s="556"/>
      <c r="AR155" s="555"/>
      <c r="AS155" s="555"/>
      <c r="AT155" s="555"/>
      <c r="AU155" s="555"/>
      <c r="AV155" s="555"/>
      <c r="AW155" s="555"/>
      <c r="AX155" s="555"/>
      <c r="AY155" s="555"/>
      <c r="AZ155" s="557"/>
      <c r="BA155" s="557"/>
      <c r="BB155" s="555"/>
      <c r="BC155" s="555"/>
      <c r="BD155" s="555"/>
      <c r="BE155" s="555"/>
      <c r="BF155" s="554"/>
      <c r="BG155" s="554"/>
      <c r="BH155" s="554"/>
      <c r="BI155" s="554"/>
      <c r="BJ155" s="554"/>
      <c r="BK155" s="554"/>
      <c r="BL155" s="554"/>
      <c r="BM155" s="554"/>
      <c r="BN155" s="554"/>
      <c r="BO155" s="555"/>
      <c r="BP155" s="555"/>
      <c r="BQ155" s="555"/>
      <c r="BR155" s="555"/>
    </row>
    <row r="156" spans="1:87" s="439" customFormat="1" ht="15.95" customHeight="1">
      <c r="A156" s="467"/>
      <c r="B156" s="429"/>
      <c r="C156" s="429"/>
      <c r="D156" s="429"/>
      <c r="E156" s="357"/>
      <c r="F156" s="430"/>
      <c r="G156" s="429"/>
      <c r="H156" s="429"/>
      <c r="I156" s="429"/>
      <c r="J156" s="429"/>
      <c r="K156" s="431"/>
      <c r="L156" s="431"/>
      <c r="M156" s="431"/>
      <c r="N156" s="431"/>
      <c r="O156" s="431"/>
      <c r="P156" s="431"/>
      <c r="Q156" s="431"/>
      <c r="R156" s="431"/>
      <c r="S156" s="431"/>
      <c r="T156" s="431"/>
      <c r="U156" s="431"/>
      <c r="V156" s="431"/>
      <c r="W156" s="432"/>
      <c r="X156" s="429"/>
      <c r="Y156" s="429"/>
      <c r="Z156" s="292"/>
      <c r="AA156" s="292"/>
      <c r="AB156" s="292"/>
      <c r="AC156" s="292"/>
      <c r="AD156" s="433"/>
      <c r="AE156" s="433"/>
      <c r="AF156" s="433"/>
      <c r="AG156" s="433"/>
      <c r="AH156" s="433"/>
      <c r="AI156" s="435"/>
      <c r="AJ156" s="433"/>
      <c r="AK156" s="435"/>
      <c r="AL156" s="435"/>
      <c r="AM156" s="435"/>
      <c r="AN156" s="435"/>
      <c r="AO156" s="435"/>
      <c r="AP156" s="433"/>
      <c r="AQ156" s="435"/>
      <c r="AR156" s="433"/>
      <c r="AS156" s="433"/>
      <c r="AT156" s="433"/>
      <c r="AU156" s="433"/>
      <c r="AV156" s="433"/>
      <c r="AW156" s="433"/>
      <c r="AX156" s="433"/>
      <c r="AY156" s="433"/>
      <c r="AZ156" s="453"/>
      <c r="BA156" s="453"/>
      <c r="BB156" s="433"/>
      <c r="BC156" s="433"/>
      <c r="BD156" s="433"/>
      <c r="BE156" s="433"/>
      <c r="BF156" s="292"/>
      <c r="BG156" s="292"/>
      <c r="BH156" s="292"/>
      <c r="BI156" s="292"/>
      <c r="BJ156" s="292"/>
      <c r="BK156" s="292"/>
      <c r="BL156" s="292"/>
      <c r="BM156" s="292"/>
      <c r="BN156" s="292"/>
      <c r="BO156" s="433"/>
      <c r="BP156" s="433"/>
      <c r="BQ156" s="433"/>
      <c r="BR156" s="433"/>
    </row>
    <row r="157" spans="1:87" s="439" customFormat="1" ht="15.95" customHeight="1">
      <c r="A157" s="467"/>
      <c r="B157" s="429"/>
      <c r="C157" s="429"/>
      <c r="D157" s="429"/>
      <c r="E157" s="357"/>
      <c r="F157" s="430"/>
      <c r="G157" s="429"/>
      <c r="H157" s="429"/>
      <c r="I157" s="429"/>
      <c r="J157" s="429"/>
      <c r="K157" s="431"/>
      <c r="L157" s="431"/>
      <c r="M157" s="431"/>
      <c r="N157" s="431"/>
      <c r="O157" s="431"/>
      <c r="P157" s="431"/>
      <c r="Q157" s="431"/>
      <c r="R157" s="431"/>
      <c r="S157" s="431"/>
      <c r="T157" s="431"/>
      <c r="U157" s="431"/>
      <c r="V157" s="431"/>
      <c r="W157" s="432"/>
      <c r="X157" s="429"/>
      <c r="Y157" s="429"/>
      <c r="Z157" s="292"/>
      <c r="AA157" s="292"/>
      <c r="AB157" s="292"/>
      <c r="AC157" s="292"/>
      <c r="AD157" s="433"/>
      <c r="AE157" s="433"/>
      <c r="AF157" s="433"/>
      <c r="AG157" s="433"/>
      <c r="AH157" s="433"/>
      <c r="AI157" s="435"/>
      <c r="AJ157" s="433"/>
      <c r="AK157" s="435"/>
      <c r="AL157" s="435"/>
      <c r="AM157" s="435"/>
      <c r="AN157" s="435"/>
      <c r="AO157" s="435"/>
      <c r="AP157" s="433"/>
      <c r="AQ157" s="435"/>
      <c r="AR157" s="433"/>
      <c r="AS157" s="433"/>
      <c r="AT157" s="433"/>
      <c r="AU157" s="433"/>
      <c r="AV157" s="433"/>
      <c r="AW157" s="433"/>
      <c r="AX157" s="433"/>
      <c r="AY157" s="433"/>
      <c r="AZ157" s="453"/>
      <c r="BA157" s="453"/>
      <c r="BB157" s="433"/>
      <c r="BC157" s="433"/>
      <c r="BD157" s="433"/>
      <c r="BE157" s="433"/>
      <c r="BF157" s="292"/>
      <c r="BG157" s="292"/>
      <c r="BH157" s="292"/>
      <c r="BI157" s="292"/>
      <c r="BJ157" s="292"/>
      <c r="BK157" s="292"/>
      <c r="BL157" s="292"/>
      <c r="BM157" s="292"/>
      <c r="BN157" s="292"/>
      <c r="BO157" s="433"/>
      <c r="BP157" s="433"/>
      <c r="BQ157" s="433"/>
      <c r="BR157" s="433"/>
    </row>
    <row r="158" spans="1:87" s="439" customFormat="1" ht="15.95" customHeight="1">
      <c r="A158" s="467"/>
      <c r="B158" s="429"/>
      <c r="C158" s="429"/>
      <c r="D158" s="429"/>
      <c r="E158" s="357"/>
      <c r="F158" s="430"/>
      <c r="G158" s="429"/>
      <c r="H158" s="429"/>
      <c r="I158" s="429"/>
      <c r="J158" s="429"/>
      <c r="K158" s="431"/>
      <c r="L158" s="431"/>
      <c r="M158" s="431"/>
      <c r="N158" s="431"/>
      <c r="O158" s="431"/>
      <c r="P158" s="431"/>
      <c r="Q158" s="431"/>
      <c r="R158" s="431"/>
      <c r="S158" s="431"/>
      <c r="T158" s="431"/>
      <c r="U158" s="431"/>
      <c r="V158" s="431"/>
      <c r="W158" s="432"/>
      <c r="X158" s="429"/>
      <c r="Y158" s="429"/>
      <c r="Z158" s="292"/>
      <c r="AA158" s="292"/>
      <c r="AB158" s="292"/>
      <c r="AC158" s="292"/>
      <c r="AD158" s="433"/>
      <c r="AE158" s="433"/>
      <c r="AF158" s="433"/>
      <c r="AG158" s="433"/>
      <c r="AH158" s="433"/>
      <c r="AI158" s="435"/>
      <c r="AJ158" s="433"/>
      <c r="AK158" s="435"/>
      <c r="AL158" s="435"/>
      <c r="AM158" s="435"/>
      <c r="AN158" s="435"/>
      <c r="AO158" s="435"/>
      <c r="AP158" s="433"/>
      <c r="AQ158" s="435"/>
      <c r="AR158" s="433"/>
      <c r="AS158" s="433"/>
      <c r="AT158" s="433"/>
      <c r="AU158" s="433"/>
      <c r="AV158" s="433"/>
      <c r="AW158" s="433"/>
      <c r="AX158" s="433"/>
      <c r="AY158" s="433"/>
      <c r="AZ158" s="453"/>
      <c r="BA158" s="433"/>
      <c r="BB158" s="433"/>
      <c r="BC158" s="433"/>
      <c r="BD158" s="433"/>
      <c r="BE158" s="433"/>
      <c r="BF158" s="292"/>
      <c r="BG158" s="292"/>
      <c r="BH158" s="292"/>
      <c r="BI158" s="292"/>
      <c r="BJ158" s="292"/>
      <c r="BK158" s="292"/>
      <c r="BL158" s="292"/>
      <c r="BM158" s="292"/>
      <c r="BN158" s="292"/>
      <c r="BO158" s="433"/>
      <c r="BP158" s="433"/>
      <c r="BQ158" s="433"/>
      <c r="BR158" s="433"/>
    </row>
    <row r="159" spans="1:87" s="439" customFormat="1" ht="15.95" customHeight="1">
      <c r="A159" s="467"/>
      <c r="B159" s="429"/>
      <c r="C159" s="429"/>
      <c r="D159" s="429"/>
      <c r="E159" s="357"/>
      <c r="F159" s="430"/>
      <c r="G159" s="429"/>
      <c r="H159" s="429"/>
      <c r="I159" s="429"/>
      <c r="J159" s="429"/>
      <c r="K159" s="431"/>
      <c r="L159" s="431"/>
      <c r="M159" s="431"/>
      <c r="N159" s="431"/>
      <c r="O159" s="431"/>
      <c r="P159" s="431"/>
      <c r="Q159" s="431"/>
      <c r="R159" s="431"/>
      <c r="S159" s="431"/>
      <c r="T159" s="431"/>
      <c r="U159" s="431"/>
      <c r="V159" s="431"/>
      <c r="W159" s="432"/>
      <c r="X159" s="429"/>
      <c r="Y159" s="429"/>
      <c r="Z159" s="292"/>
      <c r="AA159" s="292"/>
      <c r="AB159" s="292"/>
      <c r="AC159" s="292"/>
      <c r="AD159" s="433"/>
      <c r="AE159" s="433"/>
      <c r="AF159" s="433"/>
      <c r="AG159" s="433"/>
      <c r="AH159" s="433"/>
      <c r="AI159" s="435"/>
      <c r="AJ159" s="433"/>
      <c r="AK159" s="435"/>
      <c r="AL159" s="435"/>
      <c r="AM159" s="435"/>
      <c r="AN159" s="435"/>
      <c r="AO159" s="435"/>
      <c r="AP159" s="433"/>
      <c r="AQ159" s="435"/>
      <c r="AR159" s="433"/>
      <c r="AS159" s="433"/>
      <c r="AT159" s="433"/>
      <c r="AU159" s="433"/>
      <c r="AV159" s="433"/>
      <c r="AW159" s="433"/>
      <c r="AX159" s="433"/>
      <c r="AY159" s="433"/>
      <c r="AZ159" s="453"/>
      <c r="BA159" s="433"/>
      <c r="BB159" s="433"/>
      <c r="BC159" s="433"/>
      <c r="BD159" s="433"/>
      <c r="BE159" s="433"/>
      <c r="BF159" s="292"/>
      <c r="BG159" s="292"/>
      <c r="BH159" s="292"/>
      <c r="BI159" s="292"/>
      <c r="BJ159" s="292"/>
      <c r="BK159" s="292"/>
      <c r="BL159" s="292"/>
      <c r="BM159" s="292"/>
      <c r="BN159" s="292"/>
      <c r="BO159" s="433"/>
      <c r="BP159" s="433"/>
      <c r="BQ159" s="433"/>
      <c r="BR159" s="433"/>
    </row>
    <row r="160" spans="1:87" s="439" customFormat="1" ht="15.95" customHeight="1">
      <c r="A160" s="467"/>
      <c r="B160" s="429"/>
      <c r="C160" s="429"/>
      <c r="D160" s="429"/>
      <c r="E160" s="357"/>
      <c r="F160" s="430"/>
      <c r="G160" s="429"/>
      <c r="H160" s="429"/>
      <c r="I160" s="429"/>
      <c r="J160" s="429"/>
      <c r="K160" s="431"/>
      <c r="L160" s="431"/>
      <c r="M160" s="431"/>
      <c r="N160" s="431"/>
      <c r="O160" s="431"/>
      <c r="P160" s="431"/>
      <c r="Q160" s="431"/>
      <c r="R160" s="431"/>
      <c r="S160" s="431"/>
      <c r="T160" s="431"/>
      <c r="U160" s="431"/>
      <c r="V160" s="431"/>
      <c r="W160" s="432"/>
      <c r="X160" s="429"/>
      <c r="Y160" s="429"/>
      <c r="Z160" s="292"/>
      <c r="AA160" s="292"/>
      <c r="AB160" s="292"/>
      <c r="AC160" s="292"/>
      <c r="AD160" s="433"/>
      <c r="AE160" s="433"/>
      <c r="AF160" s="433"/>
      <c r="AG160" s="433"/>
      <c r="AH160" s="433"/>
      <c r="AI160" s="435"/>
      <c r="AJ160" s="433"/>
      <c r="AK160" s="435"/>
      <c r="AL160" s="435"/>
      <c r="AM160" s="435"/>
      <c r="AN160" s="435"/>
      <c r="AO160" s="435"/>
      <c r="AP160" s="433"/>
      <c r="AQ160" s="435"/>
      <c r="AR160" s="433"/>
      <c r="AS160" s="433"/>
      <c r="AT160" s="433"/>
      <c r="AU160" s="433"/>
      <c r="AV160" s="433"/>
      <c r="AW160" s="433"/>
      <c r="AX160" s="433"/>
      <c r="AY160" s="433"/>
      <c r="AZ160" s="453"/>
      <c r="BA160" s="433"/>
      <c r="BB160" s="433"/>
      <c r="BC160" s="433"/>
      <c r="BD160" s="433"/>
      <c r="BE160" s="433"/>
      <c r="BF160" s="292"/>
      <c r="BG160" s="292"/>
      <c r="BH160" s="292"/>
      <c r="BI160" s="292"/>
      <c r="BJ160" s="292"/>
      <c r="BK160" s="292"/>
      <c r="BL160" s="292"/>
      <c r="BM160" s="292"/>
      <c r="BN160" s="292"/>
      <c r="BO160" s="433"/>
      <c r="BP160" s="433"/>
      <c r="BQ160" s="433"/>
      <c r="BR160" s="433"/>
    </row>
    <row r="161" spans="1:70" s="439" customFormat="1" ht="15.95" customHeight="1">
      <c r="A161" s="467"/>
      <c r="B161" s="429"/>
      <c r="C161" s="429"/>
      <c r="D161" s="429"/>
      <c r="E161" s="357"/>
      <c r="F161" s="430"/>
      <c r="G161" s="429"/>
      <c r="H161" s="429"/>
      <c r="I161" s="429"/>
      <c r="J161" s="429"/>
      <c r="K161" s="431"/>
      <c r="L161" s="431"/>
      <c r="M161" s="431"/>
      <c r="N161" s="431"/>
      <c r="O161" s="431"/>
      <c r="P161" s="431"/>
      <c r="Q161" s="431"/>
      <c r="R161" s="431"/>
      <c r="S161" s="431"/>
      <c r="T161" s="431"/>
      <c r="U161" s="431"/>
      <c r="V161" s="431"/>
      <c r="W161" s="432"/>
      <c r="X161" s="429"/>
      <c r="Y161" s="429"/>
      <c r="Z161" s="292"/>
      <c r="AA161" s="292"/>
      <c r="AB161" s="292"/>
      <c r="AC161" s="292"/>
      <c r="AD161" s="433"/>
      <c r="AE161" s="433"/>
      <c r="AF161" s="433"/>
      <c r="AG161" s="433"/>
      <c r="AH161" s="433"/>
      <c r="AI161" s="435"/>
      <c r="AJ161" s="433"/>
      <c r="AK161" s="435"/>
      <c r="AL161" s="435"/>
      <c r="AM161" s="435"/>
      <c r="AN161" s="435"/>
      <c r="AO161" s="435"/>
      <c r="AP161" s="433"/>
      <c r="AQ161" s="435"/>
      <c r="AR161" s="433"/>
      <c r="AS161" s="433"/>
      <c r="AT161" s="433"/>
      <c r="AU161" s="433"/>
      <c r="AV161" s="433"/>
      <c r="AW161" s="433"/>
      <c r="AX161" s="433"/>
      <c r="AY161" s="433"/>
      <c r="AZ161" s="453"/>
      <c r="BA161" s="433"/>
      <c r="BB161" s="433"/>
      <c r="BC161" s="433"/>
      <c r="BD161" s="433"/>
      <c r="BE161" s="433"/>
      <c r="BF161" s="292"/>
      <c r="BG161" s="292"/>
      <c r="BH161" s="292"/>
      <c r="BI161" s="292"/>
      <c r="BJ161" s="292"/>
      <c r="BK161" s="292"/>
      <c r="BL161" s="292"/>
      <c r="BM161" s="292"/>
      <c r="BN161" s="292"/>
      <c r="BO161" s="433"/>
      <c r="BP161" s="433"/>
      <c r="BQ161" s="433"/>
      <c r="BR161" s="433"/>
    </row>
    <row r="162" spans="1:70" s="439" customFormat="1" ht="15.95" customHeight="1">
      <c r="A162" s="467"/>
      <c r="B162" s="429"/>
      <c r="C162" s="429"/>
      <c r="D162" s="429"/>
      <c r="E162" s="357"/>
      <c r="F162" s="430"/>
      <c r="G162" s="429"/>
      <c r="H162" s="429"/>
      <c r="I162" s="429"/>
      <c r="J162" s="429"/>
      <c r="K162" s="431"/>
      <c r="L162" s="431"/>
      <c r="M162" s="431"/>
      <c r="N162" s="431"/>
      <c r="O162" s="431"/>
      <c r="P162" s="431"/>
      <c r="Q162" s="431"/>
      <c r="R162" s="431"/>
      <c r="S162" s="431"/>
      <c r="T162" s="431"/>
      <c r="U162" s="431"/>
      <c r="V162" s="431"/>
      <c r="W162" s="432"/>
      <c r="X162" s="429"/>
      <c r="Y162" s="429"/>
      <c r="Z162" s="292"/>
      <c r="AA162" s="292"/>
      <c r="AB162" s="292"/>
      <c r="AC162" s="292"/>
      <c r="AD162" s="433"/>
      <c r="AE162" s="433"/>
      <c r="AF162" s="433"/>
      <c r="AG162" s="433"/>
      <c r="AH162" s="433"/>
      <c r="AI162" s="435"/>
      <c r="AJ162" s="433"/>
      <c r="AK162" s="435"/>
      <c r="AL162" s="435"/>
      <c r="AM162" s="435"/>
      <c r="AN162" s="435"/>
      <c r="AO162" s="435"/>
      <c r="AP162" s="433"/>
      <c r="AQ162" s="435"/>
      <c r="AR162" s="433"/>
      <c r="AS162" s="433"/>
      <c r="AT162" s="433"/>
      <c r="AU162" s="433"/>
      <c r="AV162" s="433"/>
      <c r="AW162" s="433"/>
      <c r="AX162" s="433"/>
      <c r="AY162" s="433"/>
      <c r="AZ162" s="453"/>
      <c r="BA162" s="433"/>
      <c r="BB162" s="433"/>
      <c r="BC162" s="433"/>
      <c r="BD162" s="433"/>
      <c r="BE162" s="433"/>
      <c r="BF162" s="292"/>
      <c r="BG162" s="292"/>
      <c r="BH162" s="292"/>
      <c r="BI162" s="292"/>
      <c r="BJ162" s="292"/>
      <c r="BK162" s="292"/>
      <c r="BL162" s="292"/>
      <c r="BM162" s="292"/>
      <c r="BN162" s="292"/>
      <c r="BO162" s="433"/>
      <c r="BP162" s="433"/>
      <c r="BQ162" s="433"/>
      <c r="BR162" s="433"/>
    </row>
    <row r="163" spans="1:70" s="439" customFormat="1" ht="15.95" customHeight="1">
      <c r="A163" s="467"/>
      <c r="B163" s="429"/>
      <c r="C163" s="429"/>
      <c r="D163" s="429"/>
      <c r="E163" s="357"/>
      <c r="F163" s="430"/>
      <c r="G163" s="429"/>
      <c r="H163" s="429"/>
      <c r="I163" s="429"/>
      <c r="J163" s="429"/>
      <c r="K163" s="431"/>
      <c r="L163" s="431"/>
      <c r="M163" s="431"/>
      <c r="N163" s="431"/>
      <c r="O163" s="431"/>
      <c r="P163" s="431"/>
      <c r="Q163" s="431"/>
      <c r="R163" s="431"/>
      <c r="S163" s="431"/>
      <c r="T163" s="431"/>
      <c r="U163" s="431"/>
      <c r="V163" s="431"/>
      <c r="W163" s="432"/>
      <c r="X163" s="429"/>
      <c r="Y163" s="429"/>
      <c r="Z163" s="292"/>
      <c r="AA163" s="292"/>
      <c r="AB163" s="292"/>
      <c r="AC163" s="292"/>
      <c r="AD163" s="433"/>
      <c r="AE163" s="433"/>
      <c r="AF163" s="433"/>
      <c r="AG163" s="433"/>
      <c r="AH163" s="433"/>
      <c r="AI163" s="435"/>
      <c r="AJ163" s="433"/>
      <c r="AK163" s="435"/>
      <c r="AL163" s="435"/>
      <c r="AM163" s="435"/>
      <c r="AN163" s="435"/>
      <c r="AO163" s="435"/>
      <c r="AP163" s="433"/>
      <c r="AQ163" s="435"/>
      <c r="AR163" s="433"/>
      <c r="AS163" s="433"/>
      <c r="AT163" s="433"/>
      <c r="AU163" s="433"/>
      <c r="AV163" s="433"/>
      <c r="AW163" s="433"/>
      <c r="AX163" s="433"/>
      <c r="AY163" s="433"/>
      <c r="AZ163" s="453"/>
      <c r="BA163" s="433"/>
      <c r="BB163" s="433"/>
      <c r="BC163" s="433"/>
      <c r="BD163" s="433"/>
      <c r="BE163" s="433"/>
      <c r="BF163" s="292"/>
      <c r="BG163" s="292"/>
      <c r="BH163" s="292"/>
      <c r="BI163" s="292"/>
      <c r="BJ163" s="292"/>
      <c r="BK163" s="292"/>
      <c r="BL163" s="292"/>
      <c r="BM163" s="292"/>
      <c r="BN163" s="292"/>
      <c r="BO163" s="433"/>
      <c r="BP163" s="433"/>
      <c r="BQ163" s="433"/>
      <c r="BR163" s="433"/>
    </row>
    <row r="164" spans="1:70" s="439" customFormat="1" ht="15.95" customHeight="1">
      <c r="A164" s="445"/>
      <c r="B164" s="70"/>
      <c r="C164" s="70"/>
      <c r="D164" s="70"/>
      <c r="E164" s="340"/>
      <c r="F164" s="446"/>
      <c r="G164" s="70"/>
      <c r="H164" s="70"/>
      <c r="I164" s="70"/>
      <c r="J164" s="70"/>
      <c r="K164" s="447"/>
      <c r="L164" s="447"/>
      <c r="M164" s="447"/>
      <c r="N164" s="447"/>
      <c r="O164" s="447"/>
      <c r="P164" s="447"/>
      <c r="Q164" s="447"/>
      <c r="R164" s="447"/>
      <c r="S164" s="447"/>
      <c r="T164" s="447"/>
      <c r="U164" s="447"/>
      <c r="V164" s="447"/>
      <c r="W164" s="448"/>
      <c r="X164" s="70"/>
      <c r="Y164" s="70"/>
      <c r="Z164" s="87"/>
      <c r="AA164" s="87"/>
      <c r="AB164" s="87"/>
      <c r="AC164" s="87"/>
      <c r="AD164" s="438"/>
      <c r="AE164" s="438"/>
      <c r="AF164" s="438"/>
      <c r="AG164" s="438"/>
      <c r="AH164" s="438"/>
      <c r="AI164" s="449"/>
      <c r="AJ164" s="438"/>
      <c r="AK164" s="450"/>
      <c r="AL164" s="450"/>
      <c r="AM164" s="450"/>
      <c r="AN164" s="450"/>
      <c r="AO164" s="450"/>
      <c r="AP164" s="438"/>
      <c r="AQ164" s="450"/>
      <c r="AR164" s="438"/>
      <c r="AS164" s="438"/>
      <c r="AT164" s="438"/>
      <c r="AU164" s="438"/>
      <c r="AV164" s="438"/>
      <c r="AW164" s="438"/>
      <c r="AX164" s="438"/>
      <c r="AY164" s="438"/>
      <c r="AZ164" s="451"/>
      <c r="BA164" s="451"/>
      <c r="BB164" s="438"/>
      <c r="BC164" s="438"/>
      <c r="BD164" s="438"/>
      <c r="BE164" s="452"/>
      <c r="BF164" s="436"/>
      <c r="BG164" s="436"/>
      <c r="BH164" s="436"/>
      <c r="BI164" s="436"/>
      <c r="BJ164" s="436"/>
      <c r="BK164" s="436"/>
      <c r="BL164" s="437"/>
      <c r="BM164" s="437"/>
      <c r="BN164" s="437"/>
      <c r="BO164" s="438"/>
      <c r="BP164" s="438"/>
      <c r="BQ164" s="438"/>
      <c r="BR164" s="438"/>
    </row>
    <row r="165" spans="1:70" s="96" customFormat="1" ht="15.95" customHeight="1">
      <c r="A165" s="266"/>
      <c r="B165" s="307" t="s">
        <v>221</v>
      </c>
      <c r="C165" s="69"/>
      <c r="D165" s="274"/>
      <c r="E165" s="275"/>
      <c r="F165" s="72"/>
      <c r="G165" s="69"/>
      <c r="H165" s="69"/>
      <c r="I165" s="74"/>
      <c r="J165" s="74"/>
      <c r="K165" s="81"/>
      <c r="L165" s="82"/>
      <c r="M165" s="83"/>
      <c r="N165" s="81"/>
      <c r="O165" s="82"/>
      <c r="P165" s="83"/>
      <c r="Q165" s="81"/>
      <c r="R165" s="82"/>
      <c r="S165" s="83"/>
      <c r="T165" s="84"/>
      <c r="U165" s="82"/>
      <c r="V165" s="83"/>
      <c r="W165" s="106"/>
      <c r="X165" s="74"/>
      <c r="Y165" s="74"/>
      <c r="Z165" s="87"/>
      <c r="AA165" s="73"/>
      <c r="AB165" s="73"/>
      <c r="AC165" s="73"/>
      <c r="AD165" s="91"/>
      <c r="AE165" s="91"/>
      <c r="AF165" s="91"/>
      <c r="AG165" s="91"/>
      <c r="AH165" s="91"/>
      <c r="AI165" s="303"/>
      <c r="AJ165" s="91">
        <f t="shared" ref="AJ165:BB165" si="3">SUM(AJ3:AJ164)</f>
        <v>176689150</v>
      </c>
      <c r="AK165" s="91">
        <f t="shared" si="3"/>
        <v>1100000</v>
      </c>
      <c r="AL165" s="91">
        <f t="shared" si="3"/>
        <v>0</v>
      </c>
      <c r="AM165" s="91">
        <f t="shared" si="3"/>
        <v>1375000</v>
      </c>
      <c r="AN165" s="91">
        <f t="shared" si="3"/>
        <v>390000</v>
      </c>
      <c r="AO165" s="91">
        <f t="shared" si="3"/>
        <v>31491240</v>
      </c>
      <c r="AP165" s="91">
        <f t="shared" si="3"/>
        <v>365730</v>
      </c>
      <c r="AQ165" s="91">
        <f t="shared" si="3"/>
        <v>8810250</v>
      </c>
      <c r="AR165" s="91">
        <f t="shared" si="3"/>
        <v>70000</v>
      </c>
      <c r="AS165" s="91">
        <f t="shared" si="3"/>
        <v>3492500</v>
      </c>
      <c r="AT165" s="91">
        <f t="shared" si="3"/>
        <v>1300000</v>
      </c>
      <c r="AU165" s="91">
        <f t="shared" si="3"/>
        <v>1783080</v>
      </c>
      <c r="AV165" s="91">
        <f t="shared" si="3"/>
        <v>12993490</v>
      </c>
      <c r="AW165" s="91">
        <f t="shared" si="3"/>
        <v>5512500</v>
      </c>
      <c r="AX165" s="91">
        <f t="shared" si="3"/>
        <v>0</v>
      </c>
      <c r="AY165" s="91">
        <f t="shared" si="3"/>
        <v>0</v>
      </c>
      <c r="AZ165" s="91">
        <f t="shared" si="3"/>
        <v>9178710</v>
      </c>
      <c r="BA165" s="91">
        <f t="shared" si="3"/>
        <v>0</v>
      </c>
      <c r="BB165" s="91">
        <f t="shared" si="3"/>
        <v>254584920</v>
      </c>
      <c r="BC165" s="91"/>
      <c r="BD165" s="91"/>
      <c r="BE165" s="91">
        <f t="shared" ref="BE165:BR165" si="4">SUM(BE3:BE164)</f>
        <v>488270</v>
      </c>
      <c r="BF165" s="91">
        <f t="shared" si="4"/>
        <v>48880</v>
      </c>
      <c r="BG165" s="91">
        <f t="shared" si="4"/>
        <v>8269440</v>
      </c>
      <c r="BH165" s="91">
        <f t="shared" si="4"/>
        <v>7149840</v>
      </c>
      <c r="BI165" s="91">
        <f t="shared" si="4"/>
        <v>811200</v>
      </c>
      <c r="BJ165" s="91">
        <f t="shared" si="4"/>
        <v>-44700</v>
      </c>
      <c r="BK165" s="91">
        <f t="shared" si="4"/>
        <v>1542880</v>
      </c>
      <c r="BL165" s="91">
        <f t="shared" si="4"/>
        <v>-8420</v>
      </c>
      <c r="BM165" s="91">
        <f t="shared" si="4"/>
        <v>23040000</v>
      </c>
      <c r="BN165" s="91">
        <f t="shared" si="4"/>
        <v>17630</v>
      </c>
      <c r="BO165" s="91">
        <f t="shared" si="4"/>
        <v>0</v>
      </c>
      <c r="BP165" s="91">
        <f t="shared" si="4"/>
        <v>245360</v>
      </c>
      <c r="BQ165" s="91">
        <f t="shared" si="4"/>
        <v>41560380</v>
      </c>
      <c r="BR165" s="91">
        <f t="shared" si="4"/>
        <v>213024540</v>
      </c>
    </row>
    <row r="166" spans="1:70" s="96" customFormat="1" ht="15.95" customHeight="1">
      <c r="A166" s="260"/>
      <c r="B166" s="261"/>
      <c r="C166" s="261"/>
      <c r="D166" s="308"/>
      <c r="E166" s="309"/>
      <c r="F166" s="310"/>
      <c r="G166" s="261"/>
      <c r="H166" s="261"/>
      <c r="I166" s="311"/>
      <c r="J166" s="311"/>
      <c r="K166" s="312"/>
      <c r="L166" s="313"/>
      <c r="M166" s="314"/>
      <c r="N166" s="312"/>
      <c r="O166" s="313"/>
      <c r="P166" s="314"/>
      <c r="Q166" s="312"/>
      <c r="R166" s="313"/>
      <c r="S166" s="314"/>
      <c r="T166" s="315"/>
      <c r="U166" s="313"/>
      <c r="V166" s="314"/>
      <c r="W166" s="316"/>
      <c r="X166" s="311"/>
      <c r="Y166" s="311"/>
      <c r="Z166" s="317"/>
      <c r="AA166" s="280"/>
      <c r="AB166" s="280"/>
      <c r="AC166" s="280"/>
      <c r="AD166" s="279"/>
      <c r="AE166" s="279"/>
      <c r="AF166" s="279"/>
      <c r="AG166" s="279"/>
      <c r="AH166" s="279"/>
      <c r="AI166" s="318"/>
      <c r="AJ166" s="279"/>
      <c r="AK166" s="319"/>
      <c r="AL166" s="319"/>
      <c r="AM166" s="319"/>
      <c r="AN166" s="319"/>
      <c r="AO166" s="319"/>
      <c r="AP166" s="279"/>
      <c r="AQ166" s="319"/>
      <c r="AR166" s="279"/>
      <c r="AS166" s="279"/>
      <c r="AT166" s="279"/>
      <c r="AU166" s="279"/>
      <c r="AV166" s="279"/>
      <c r="AW166" s="279"/>
      <c r="AX166" s="279"/>
      <c r="AY166" s="279"/>
      <c r="AZ166" s="279"/>
      <c r="BA166" s="279"/>
      <c r="BB166" s="279"/>
      <c r="BC166" s="279"/>
      <c r="BD166" s="279"/>
      <c r="BE166" s="320"/>
      <c r="BF166" s="281"/>
      <c r="BG166" s="281"/>
      <c r="BH166" s="281"/>
      <c r="BI166" s="281"/>
      <c r="BJ166" s="281"/>
      <c r="BK166" s="281"/>
      <c r="BL166" s="321"/>
      <c r="BM166" s="321"/>
      <c r="BN166" s="321"/>
      <c r="BO166" s="279"/>
      <c r="BP166" s="279"/>
      <c r="BQ166" s="279"/>
      <c r="BR166" s="267"/>
    </row>
    <row r="167" spans="1:70" ht="21.75" customHeight="1">
      <c r="B167" s="322" t="s">
        <v>222</v>
      </c>
      <c r="AJ167" s="245"/>
      <c r="AK167" s="245"/>
      <c r="AL167" s="245"/>
      <c r="AM167" s="245"/>
      <c r="AN167" s="245"/>
      <c r="AO167" s="245"/>
      <c r="AP167" s="245"/>
      <c r="AQ167" s="245"/>
      <c r="AR167" s="245"/>
      <c r="AS167" s="245"/>
      <c r="AT167" s="245"/>
      <c r="AU167" s="245"/>
      <c r="AV167" s="245"/>
      <c r="AW167" s="245"/>
      <c r="AX167" s="245"/>
      <c r="AY167" s="245"/>
      <c r="AZ167" s="245"/>
      <c r="BA167" s="245"/>
      <c r="BB167" s="323"/>
      <c r="BC167" s="323"/>
      <c r="BD167" s="323"/>
      <c r="BE167" s="323"/>
      <c r="BF167" s="245"/>
      <c r="BG167" s="324" t="s">
        <v>223</v>
      </c>
      <c r="BH167" s="245"/>
      <c r="BI167" s="245"/>
      <c r="BJ167" s="245"/>
      <c r="BK167" s="245"/>
      <c r="BL167" s="245"/>
      <c r="BM167" s="245"/>
      <c r="BN167" s="245"/>
      <c r="BO167" s="245"/>
      <c r="BP167" s="245"/>
      <c r="BQ167" s="245"/>
      <c r="BR167" s="245"/>
    </row>
    <row r="168" spans="1:70">
      <c r="B168" s="261" t="s">
        <v>477</v>
      </c>
      <c r="C168" s="245"/>
      <c r="D168" s="245"/>
      <c r="E168" s="245"/>
      <c r="F168" s="245"/>
      <c r="G168" s="245"/>
      <c r="H168" s="245"/>
      <c r="I168" s="245"/>
      <c r="J168" s="245"/>
      <c r="K168" s="245"/>
      <c r="L168" s="245"/>
      <c r="M168" s="245"/>
      <c r="N168" s="245"/>
      <c r="O168" s="245"/>
      <c r="P168" s="245"/>
      <c r="Q168" s="245"/>
      <c r="R168" s="245"/>
      <c r="S168" s="245"/>
      <c r="T168" s="245"/>
      <c r="U168" s="245"/>
      <c r="V168" s="245"/>
      <c r="W168" s="245"/>
      <c r="X168" s="245"/>
      <c r="Y168" s="245"/>
      <c r="Z168" s="245"/>
      <c r="AA168" s="245"/>
      <c r="AB168" s="245"/>
      <c r="AC168" s="245"/>
      <c r="AD168" s="245"/>
      <c r="AE168" s="245"/>
      <c r="AF168" s="245"/>
      <c r="AG168" s="245"/>
      <c r="AH168" s="245"/>
      <c r="AI168" s="245"/>
      <c r="AJ168" s="217">
        <f t="shared" ref="AJ168:AS177" si="5">SUMIF($B$3:$B$165,$B168,AJ$3:AJ$165)</f>
        <v>3819880</v>
      </c>
      <c r="AK168" s="217">
        <f t="shared" si="5"/>
        <v>0</v>
      </c>
      <c r="AL168" s="217">
        <f t="shared" si="5"/>
        <v>0</v>
      </c>
      <c r="AM168" s="217">
        <f t="shared" si="5"/>
        <v>0</v>
      </c>
      <c r="AN168" s="217">
        <f t="shared" si="5"/>
        <v>0</v>
      </c>
      <c r="AO168" s="217">
        <f t="shared" si="5"/>
        <v>1435000</v>
      </c>
      <c r="AP168" s="217">
        <f t="shared" si="5"/>
        <v>0</v>
      </c>
      <c r="AQ168" s="217">
        <f t="shared" si="5"/>
        <v>0</v>
      </c>
      <c r="AR168" s="217">
        <f t="shared" si="5"/>
        <v>20000</v>
      </c>
      <c r="AS168" s="217">
        <f t="shared" si="5"/>
        <v>110000</v>
      </c>
      <c r="AT168" s="217">
        <f t="shared" ref="AT168:BB177" si="6">SUMIF($B$3:$B$165,$B168,AT$3:AT$165)</f>
        <v>0</v>
      </c>
      <c r="AU168" s="217">
        <f t="shared" si="6"/>
        <v>70960</v>
      </c>
      <c r="AV168" s="217">
        <f t="shared" si="6"/>
        <v>286290</v>
      </c>
      <c r="AW168" s="217">
        <f t="shared" si="6"/>
        <v>675000</v>
      </c>
      <c r="AX168" s="217">
        <f t="shared" si="6"/>
        <v>0</v>
      </c>
      <c r="AY168" s="217">
        <f t="shared" si="6"/>
        <v>0</v>
      </c>
      <c r="AZ168" s="217">
        <f t="shared" si="6"/>
        <v>0</v>
      </c>
      <c r="BA168" s="217">
        <f t="shared" si="6"/>
        <v>0</v>
      </c>
      <c r="BB168" s="217">
        <f t="shared" si="6"/>
        <v>6417130</v>
      </c>
      <c r="BC168" s="217"/>
      <c r="BD168" s="217"/>
      <c r="BE168" s="217">
        <f t="shared" ref="BE168:BR177" si="7">SUMIF($B$3:$B$165,$B168,BE$3:BE$165)</f>
        <v>0</v>
      </c>
      <c r="BF168" s="217">
        <f t="shared" si="7"/>
        <v>0</v>
      </c>
      <c r="BG168" s="217">
        <f t="shared" si="7"/>
        <v>151240</v>
      </c>
      <c r="BH168" s="217">
        <f t="shared" si="7"/>
        <v>203400</v>
      </c>
      <c r="BI168" s="217">
        <f t="shared" si="7"/>
        <v>23410</v>
      </c>
      <c r="BJ168" s="217">
        <f t="shared" si="7"/>
        <v>-5960</v>
      </c>
      <c r="BK168" s="217">
        <f t="shared" si="7"/>
        <v>47260</v>
      </c>
      <c r="BL168" s="217">
        <f t="shared" si="7"/>
        <v>0</v>
      </c>
      <c r="BM168" s="217">
        <f t="shared" si="7"/>
        <v>1320000</v>
      </c>
      <c r="BN168" s="217">
        <f t="shared" si="7"/>
        <v>0</v>
      </c>
      <c r="BO168" s="217">
        <f t="shared" si="7"/>
        <v>0</v>
      </c>
      <c r="BP168" s="217">
        <f t="shared" si="7"/>
        <v>0</v>
      </c>
      <c r="BQ168" s="217">
        <f t="shared" si="7"/>
        <v>1739350</v>
      </c>
      <c r="BR168" s="217">
        <f t="shared" si="7"/>
        <v>4677780</v>
      </c>
    </row>
    <row r="169" spans="1:70">
      <c r="B169" s="261" t="s">
        <v>427</v>
      </c>
      <c r="C169" s="245"/>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245"/>
      <c r="AC169" s="245"/>
      <c r="AD169" s="245"/>
      <c r="AE169" s="245"/>
      <c r="AF169" s="245"/>
      <c r="AG169" s="245"/>
      <c r="AH169" s="245"/>
      <c r="AI169" s="245"/>
      <c r="AJ169" s="217">
        <f t="shared" si="5"/>
        <v>4047750</v>
      </c>
      <c r="AK169" s="217">
        <f t="shared" si="5"/>
        <v>0</v>
      </c>
      <c r="AL169" s="217">
        <f t="shared" si="5"/>
        <v>0</v>
      </c>
      <c r="AM169" s="217">
        <f t="shared" si="5"/>
        <v>0</v>
      </c>
      <c r="AN169" s="217">
        <f t="shared" si="5"/>
        <v>0</v>
      </c>
      <c r="AO169" s="217">
        <f t="shared" si="5"/>
        <v>1570620</v>
      </c>
      <c r="AP169" s="217">
        <f t="shared" si="5"/>
        <v>0</v>
      </c>
      <c r="AQ169" s="217">
        <f t="shared" si="5"/>
        <v>0</v>
      </c>
      <c r="AR169" s="217">
        <f t="shared" si="5"/>
        <v>15000</v>
      </c>
      <c r="AS169" s="217">
        <f t="shared" si="5"/>
        <v>117500</v>
      </c>
      <c r="AT169" s="217">
        <f t="shared" si="6"/>
        <v>0</v>
      </c>
      <c r="AU169" s="217">
        <f t="shared" si="6"/>
        <v>70960</v>
      </c>
      <c r="AV169" s="217">
        <f t="shared" si="6"/>
        <v>302540</v>
      </c>
      <c r="AW169" s="217">
        <f t="shared" si="6"/>
        <v>731250</v>
      </c>
      <c r="AX169" s="217">
        <f t="shared" si="6"/>
        <v>0</v>
      </c>
      <c r="AY169" s="217">
        <f t="shared" si="6"/>
        <v>0</v>
      </c>
      <c r="AZ169" s="217">
        <f t="shared" si="6"/>
        <v>0</v>
      </c>
      <c r="BA169" s="217">
        <f t="shared" si="6"/>
        <v>0</v>
      </c>
      <c r="BB169" s="217">
        <f t="shared" si="6"/>
        <v>6855620</v>
      </c>
      <c r="BC169" s="217"/>
      <c r="BD169" s="217"/>
      <c r="BE169" s="217">
        <f t="shared" si="7"/>
        <v>0</v>
      </c>
      <c r="BF169" s="217">
        <f t="shared" si="7"/>
        <v>0</v>
      </c>
      <c r="BG169" s="217">
        <f t="shared" si="7"/>
        <v>175990</v>
      </c>
      <c r="BH169" s="217">
        <f t="shared" si="7"/>
        <v>218030</v>
      </c>
      <c r="BI169" s="217">
        <f t="shared" si="7"/>
        <v>25100</v>
      </c>
      <c r="BJ169" s="217">
        <f t="shared" si="7"/>
        <v>0</v>
      </c>
      <c r="BK169" s="217">
        <f t="shared" si="7"/>
        <v>51110</v>
      </c>
      <c r="BL169" s="217">
        <f t="shared" si="7"/>
        <v>0</v>
      </c>
      <c r="BM169" s="217">
        <f t="shared" si="7"/>
        <v>900000</v>
      </c>
      <c r="BN169" s="217">
        <f t="shared" si="7"/>
        <v>0</v>
      </c>
      <c r="BO169" s="217">
        <f t="shared" si="7"/>
        <v>0</v>
      </c>
      <c r="BP169" s="217">
        <f t="shared" si="7"/>
        <v>0</v>
      </c>
      <c r="BQ169" s="217">
        <f t="shared" si="7"/>
        <v>1370230</v>
      </c>
      <c r="BR169" s="217">
        <f t="shared" si="7"/>
        <v>5485390</v>
      </c>
    </row>
    <row r="170" spans="1:70">
      <c r="B170" s="261" t="s">
        <v>428</v>
      </c>
      <c r="C170" s="245"/>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17">
        <f t="shared" si="5"/>
        <v>3614050</v>
      </c>
      <c r="AK170" s="217">
        <f t="shared" si="5"/>
        <v>0</v>
      </c>
      <c r="AL170" s="217">
        <f t="shared" si="5"/>
        <v>0</v>
      </c>
      <c r="AM170" s="217">
        <f t="shared" si="5"/>
        <v>0</v>
      </c>
      <c r="AN170" s="217">
        <f t="shared" si="5"/>
        <v>0</v>
      </c>
      <c r="AO170" s="217">
        <f t="shared" si="5"/>
        <v>1750000</v>
      </c>
      <c r="AP170" s="217">
        <f t="shared" si="5"/>
        <v>0</v>
      </c>
      <c r="AQ170" s="217">
        <f t="shared" si="5"/>
        <v>0</v>
      </c>
      <c r="AR170" s="217">
        <f t="shared" si="5"/>
        <v>0</v>
      </c>
      <c r="AS170" s="217">
        <f t="shared" si="5"/>
        <v>220000</v>
      </c>
      <c r="AT170" s="217">
        <f t="shared" si="6"/>
        <v>0</v>
      </c>
      <c r="AU170" s="217">
        <f t="shared" si="6"/>
        <v>90310</v>
      </c>
      <c r="AV170" s="217">
        <f t="shared" si="6"/>
        <v>271610</v>
      </c>
      <c r="AW170" s="217">
        <f t="shared" si="6"/>
        <v>900000</v>
      </c>
      <c r="AX170" s="217">
        <f t="shared" si="6"/>
        <v>0</v>
      </c>
      <c r="AY170" s="217">
        <f t="shared" si="6"/>
        <v>0</v>
      </c>
      <c r="AZ170" s="217">
        <f t="shared" si="6"/>
        <v>0</v>
      </c>
      <c r="BA170" s="217">
        <f t="shared" si="6"/>
        <v>0</v>
      </c>
      <c r="BB170" s="217">
        <f t="shared" si="6"/>
        <v>6845970</v>
      </c>
      <c r="BC170" s="217"/>
      <c r="BD170" s="217"/>
      <c r="BE170" s="217">
        <f t="shared" si="7"/>
        <v>0</v>
      </c>
      <c r="BF170" s="217">
        <f t="shared" si="7"/>
        <v>0</v>
      </c>
      <c r="BG170" s="217">
        <f t="shared" si="7"/>
        <v>321200</v>
      </c>
      <c r="BH170" s="217">
        <f t="shared" si="7"/>
        <v>248740</v>
      </c>
      <c r="BI170" s="217">
        <f t="shared" si="7"/>
        <v>28640</v>
      </c>
      <c r="BJ170" s="217">
        <f t="shared" si="7"/>
        <v>0</v>
      </c>
      <c r="BK170" s="217">
        <f t="shared" si="7"/>
        <v>58000</v>
      </c>
      <c r="BL170" s="217">
        <f t="shared" si="7"/>
        <v>0</v>
      </c>
      <c r="BM170" s="217">
        <f t="shared" si="7"/>
        <v>1440000</v>
      </c>
      <c r="BN170" s="217">
        <f t="shared" si="7"/>
        <v>0</v>
      </c>
      <c r="BO170" s="217">
        <f t="shared" si="7"/>
        <v>0</v>
      </c>
      <c r="BP170" s="217">
        <f t="shared" si="7"/>
        <v>0</v>
      </c>
      <c r="BQ170" s="217">
        <f t="shared" si="7"/>
        <v>2096580</v>
      </c>
      <c r="BR170" s="217">
        <f t="shared" si="7"/>
        <v>4749390</v>
      </c>
    </row>
    <row r="171" spans="1:70">
      <c r="B171" s="261" t="s">
        <v>429</v>
      </c>
      <c r="C171" s="245"/>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17">
        <f t="shared" si="5"/>
        <v>2812760</v>
      </c>
      <c r="AK171" s="217">
        <f t="shared" si="5"/>
        <v>0</v>
      </c>
      <c r="AL171" s="217">
        <f t="shared" si="5"/>
        <v>0</v>
      </c>
      <c r="AM171" s="217">
        <f t="shared" si="5"/>
        <v>0</v>
      </c>
      <c r="AN171" s="217">
        <f t="shared" si="5"/>
        <v>0</v>
      </c>
      <c r="AO171" s="217">
        <f t="shared" si="5"/>
        <v>1417500</v>
      </c>
      <c r="AP171" s="217">
        <f t="shared" si="5"/>
        <v>0</v>
      </c>
      <c r="AQ171" s="217">
        <f t="shared" si="5"/>
        <v>0</v>
      </c>
      <c r="AR171" s="217">
        <f t="shared" si="5"/>
        <v>0</v>
      </c>
      <c r="AS171" s="217">
        <f t="shared" si="5"/>
        <v>80000</v>
      </c>
      <c r="AT171" s="217">
        <f t="shared" si="6"/>
        <v>0</v>
      </c>
      <c r="AU171" s="217">
        <f t="shared" si="6"/>
        <v>69350</v>
      </c>
      <c r="AV171" s="217">
        <f t="shared" si="6"/>
        <v>230960</v>
      </c>
      <c r="AW171" s="217">
        <f t="shared" si="6"/>
        <v>675000</v>
      </c>
      <c r="AX171" s="217">
        <f t="shared" si="6"/>
        <v>0</v>
      </c>
      <c r="AY171" s="217">
        <f t="shared" si="6"/>
        <v>0</v>
      </c>
      <c r="AZ171" s="217">
        <f t="shared" si="6"/>
        <v>0</v>
      </c>
      <c r="BA171" s="217">
        <f t="shared" si="6"/>
        <v>0</v>
      </c>
      <c r="BB171" s="217">
        <f t="shared" si="6"/>
        <v>5285570</v>
      </c>
      <c r="BC171" s="217"/>
      <c r="BD171" s="217"/>
      <c r="BE171" s="217">
        <f t="shared" si="7"/>
        <v>0</v>
      </c>
      <c r="BF171" s="217">
        <f t="shared" si="7"/>
        <v>0</v>
      </c>
      <c r="BG171" s="217">
        <f t="shared" si="7"/>
        <v>250190</v>
      </c>
      <c r="BH171" s="217">
        <f t="shared" si="7"/>
        <v>193690</v>
      </c>
      <c r="BI171" s="217">
        <f t="shared" si="7"/>
        <v>22290</v>
      </c>
      <c r="BJ171" s="217">
        <f t="shared" si="7"/>
        <v>0</v>
      </c>
      <c r="BK171" s="217">
        <f t="shared" si="7"/>
        <v>45160</v>
      </c>
      <c r="BL171" s="217">
        <f t="shared" si="7"/>
        <v>0</v>
      </c>
      <c r="BM171" s="217">
        <f t="shared" si="7"/>
        <v>1020000</v>
      </c>
      <c r="BN171" s="217">
        <f t="shared" si="7"/>
        <v>0</v>
      </c>
      <c r="BO171" s="217">
        <f t="shared" si="7"/>
        <v>0</v>
      </c>
      <c r="BP171" s="217">
        <f t="shared" si="7"/>
        <v>0</v>
      </c>
      <c r="BQ171" s="217">
        <f t="shared" si="7"/>
        <v>1531330</v>
      </c>
      <c r="BR171" s="217">
        <f t="shared" si="7"/>
        <v>3754240</v>
      </c>
    </row>
    <row r="172" spans="1:70">
      <c r="B172" s="261" t="s">
        <v>430</v>
      </c>
      <c r="C172" s="245"/>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17">
        <f t="shared" si="5"/>
        <v>1892760</v>
      </c>
      <c r="AK172" s="217">
        <f t="shared" si="5"/>
        <v>0</v>
      </c>
      <c r="AL172" s="217">
        <f t="shared" si="5"/>
        <v>0</v>
      </c>
      <c r="AM172" s="217">
        <f t="shared" si="5"/>
        <v>0</v>
      </c>
      <c r="AN172" s="217">
        <f t="shared" si="5"/>
        <v>0</v>
      </c>
      <c r="AO172" s="217">
        <f t="shared" si="5"/>
        <v>735000</v>
      </c>
      <c r="AP172" s="217">
        <f t="shared" si="5"/>
        <v>0</v>
      </c>
      <c r="AQ172" s="217">
        <f t="shared" si="5"/>
        <v>0</v>
      </c>
      <c r="AR172" s="217">
        <f t="shared" si="5"/>
        <v>0</v>
      </c>
      <c r="AS172" s="217">
        <f t="shared" si="5"/>
        <v>60000</v>
      </c>
      <c r="AT172" s="217">
        <f t="shared" si="6"/>
        <v>0</v>
      </c>
      <c r="AU172" s="217">
        <f t="shared" si="6"/>
        <v>19350</v>
      </c>
      <c r="AV172" s="217">
        <f t="shared" si="6"/>
        <v>230960</v>
      </c>
      <c r="AW172" s="217">
        <f t="shared" si="6"/>
        <v>675000</v>
      </c>
      <c r="AX172" s="217">
        <f t="shared" si="6"/>
        <v>0</v>
      </c>
      <c r="AY172" s="217">
        <f t="shared" si="6"/>
        <v>0</v>
      </c>
      <c r="AZ172" s="217">
        <f t="shared" si="6"/>
        <v>0</v>
      </c>
      <c r="BA172" s="217">
        <f t="shared" si="6"/>
        <v>0</v>
      </c>
      <c r="BB172" s="217">
        <f t="shared" si="6"/>
        <v>3613070</v>
      </c>
      <c r="BC172" s="217"/>
      <c r="BD172" s="217"/>
      <c r="BE172" s="217">
        <f t="shared" si="7"/>
        <v>0</v>
      </c>
      <c r="BF172" s="217">
        <f t="shared" si="7"/>
        <v>0</v>
      </c>
      <c r="BG172" s="217">
        <f t="shared" si="7"/>
        <v>170910</v>
      </c>
      <c r="BH172" s="217">
        <f t="shared" si="7"/>
        <v>132230</v>
      </c>
      <c r="BI172" s="217">
        <f t="shared" si="7"/>
        <v>15220</v>
      </c>
      <c r="BJ172" s="217">
        <f t="shared" si="7"/>
        <v>0</v>
      </c>
      <c r="BK172" s="217">
        <f t="shared" si="7"/>
        <v>30820</v>
      </c>
      <c r="BL172" s="217">
        <f t="shared" si="7"/>
        <v>0</v>
      </c>
      <c r="BM172" s="217">
        <f t="shared" si="7"/>
        <v>0</v>
      </c>
      <c r="BN172" s="217">
        <f t="shared" si="7"/>
        <v>0</v>
      </c>
      <c r="BO172" s="217">
        <f t="shared" si="7"/>
        <v>0</v>
      </c>
      <c r="BP172" s="217">
        <f t="shared" si="7"/>
        <v>0</v>
      </c>
      <c r="BQ172" s="217">
        <f t="shared" si="7"/>
        <v>349180</v>
      </c>
      <c r="BR172" s="217">
        <f t="shared" si="7"/>
        <v>3263890</v>
      </c>
    </row>
    <row r="173" spans="1:70">
      <c r="B173" s="261" t="s">
        <v>431</v>
      </c>
      <c r="C173" s="245"/>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17">
        <f t="shared" si="5"/>
        <v>2695170</v>
      </c>
      <c r="AK173" s="217">
        <f t="shared" si="5"/>
        <v>0</v>
      </c>
      <c r="AL173" s="217">
        <f t="shared" si="5"/>
        <v>0</v>
      </c>
      <c r="AM173" s="217">
        <f t="shared" si="5"/>
        <v>125000</v>
      </c>
      <c r="AN173" s="217">
        <f t="shared" si="5"/>
        <v>35000</v>
      </c>
      <c r="AO173" s="217">
        <f t="shared" si="5"/>
        <v>717500</v>
      </c>
      <c r="AP173" s="217">
        <f t="shared" si="5"/>
        <v>0</v>
      </c>
      <c r="AQ173" s="217">
        <f t="shared" si="5"/>
        <v>0</v>
      </c>
      <c r="AR173" s="217">
        <f t="shared" si="5"/>
        <v>0</v>
      </c>
      <c r="AS173" s="217">
        <f t="shared" si="5"/>
        <v>90000</v>
      </c>
      <c r="AT173" s="217">
        <f t="shared" si="6"/>
        <v>0</v>
      </c>
      <c r="AU173" s="217">
        <f t="shared" si="6"/>
        <v>19350</v>
      </c>
      <c r="AV173" s="217">
        <f t="shared" si="6"/>
        <v>260320</v>
      </c>
      <c r="AW173" s="217">
        <f t="shared" si="6"/>
        <v>450000</v>
      </c>
      <c r="AX173" s="217">
        <f t="shared" si="6"/>
        <v>0</v>
      </c>
      <c r="AY173" s="217">
        <f t="shared" si="6"/>
        <v>0</v>
      </c>
      <c r="AZ173" s="217">
        <f t="shared" si="6"/>
        <v>0</v>
      </c>
      <c r="BA173" s="217">
        <f t="shared" si="6"/>
        <v>0</v>
      </c>
      <c r="BB173" s="217">
        <f t="shared" si="6"/>
        <v>4392340</v>
      </c>
      <c r="BC173" s="217"/>
      <c r="BD173" s="217"/>
      <c r="BE173" s="217">
        <f t="shared" si="7"/>
        <v>0</v>
      </c>
      <c r="BF173" s="217">
        <f t="shared" si="7"/>
        <v>0</v>
      </c>
      <c r="BG173" s="217">
        <f t="shared" si="7"/>
        <v>195120</v>
      </c>
      <c r="BH173" s="217">
        <f t="shared" si="7"/>
        <v>151010</v>
      </c>
      <c r="BI173" s="217">
        <f t="shared" si="7"/>
        <v>17380</v>
      </c>
      <c r="BJ173" s="217">
        <f t="shared" si="7"/>
        <v>0</v>
      </c>
      <c r="BK173" s="217">
        <f t="shared" si="7"/>
        <v>38420</v>
      </c>
      <c r="BL173" s="217">
        <f t="shared" si="7"/>
        <v>0</v>
      </c>
      <c r="BM173" s="217">
        <f t="shared" si="7"/>
        <v>600000</v>
      </c>
      <c r="BN173" s="217">
        <f t="shared" si="7"/>
        <v>0</v>
      </c>
      <c r="BO173" s="217">
        <f t="shared" si="7"/>
        <v>0</v>
      </c>
      <c r="BP173" s="217">
        <f t="shared" si="7"/>
        <v>0</v>
      </c>
      <c r="BQ173" s="217">
        <f t="shared" si="7"/>
        <v>1001930</v>
      </c>
      <c r="BR173" s="217">
        <f t="shared" si="7"/>
        <v>3390410</v>
      </c>
    </row>
    <row r="174" spans="1:70">
      <c r="B174" s="261" t="s">
        <v>432</v>
      </c>
      <c r="C174" s="245"/>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17">
        <f t="shared" si="5"/>
        <v>3916370</v>
      </c>
      <c r="AK174" s="217">
        <f t="shared" si="5"/>
        <v>100000</v>
      </c>
      <c r="AL174" s="217">
        <f t="shared" si="5"/>
        <v>0</v>
      </c>
      <c r="AM174" s="217">
        <f t="shared" si="5"/>
        <v>125000</v>
      </c>
      <c r="AN174" s="217">
        <f t="shared" si="5"/>
        <v>35000</v>
      </c>
      <c r="AO174" s="217">
        <f t="shared" si="5"/>
        <v>0</v>
      </c>
      <c r="AP174" s="217">
        <f t="shared" si="5"/>
        <v>0</v>
      </c>
      <c r="AQ174" s="217">
        <f t="shared" si="5"/>
        <v>0</v>
      </c>
      <c r="AR174" s="217">
        <f t="shared" si="5"/>
        <v>0</v>
      </c>
      <c r="AS174" s="217">
        <f t="shared" si="5"/>
        <v>70000</v>
      </c>
      <c r="AT174" s="217">
        <f t="shared" si="6"/>
        <v>0</v>
      </c>
      <c r="AU174" s="217">
        <f t="shared" si="6"/>
        <v>0</v>
      </c>
      <c r="AV174" s="217">
        <f t="shared" si="6"/>
        <v>70000</v>
      </c>
      <c r="AW174" s="217">
        <f t="shared" si="6"/>
        <v>225000</v>
      </c>
      <c r="AX174" s="217">
        <f t="shared" si="6"/>
        <v>0</v>
      </c>
      <c r="AY174" s="217">
        <f t="shared" si="6"/>
        <v>0</v>
      </c>
      <c r="AZ174" s="217">
        <f t="shared" si="6"/>
        <v>0</v>
      </c>
      <c r="BA174" s="217">
        <f t="shared" si="6"/>
        <v>0</v>
      </c>
      <c r="BB174" s="217">
        <f t="shared" si="6"/>
        <v>4541370</v>
      </c>
      <c r="BC174" s="217"/>
      <c r="BD174" s="217"/>
      <c r="BE174" s="217">
        <f t="shared" si="7"/>
        <v>0</v>
      </c>
      <c r="BF174" s="217">
        <f t="shared" si="7"/>
        <v>0</v>
      </c>
      <c r="BG174" s="217">
        <f t="shared" si="7"/>
        <v>212530</v>
      </c>
      <c r="BH174" s="217">
        <f t="shared" si="7"/>
        <v>162720</v>
      </c>
      <c r="BI174" s="217">
        <f t="shared" si="7"/>
        <v>18730</v>
      </c>
      <c r="BJ174" s="217">
        <f t="shared" si="7"/>
        <v>0</v>
      </c>
      <c r="BK174" s="217">
        <f t="shared" si="7"/>
        <v>18650</v>
      </c>
      <c r="BL174" s="217">
        <f t="shared" si="7"/>
        <v>0</v>
      </c>
      <c r="BM174" s="217">
        <f t="shared" si="7"/>
        <v>0</v>
      </c>
      <c r="BN174" s="217">
        <f t="shared" si="7"/>
        <v>0</v>
      </c>
      <c r="BO174" s="217">
        <f t="shared" si="7"/>
        <v>0</v>
      </c>
      <c r="BP174" s="217">
        <f t="shared" si="7"/>
        <v>0</v>
      </c>
      <c r="BQ174" s="217">
        <f t="shared" si="7"/>
        <v>412630</v>
      </c>
      <c r="BR174" s="217">
        <f t="shared" si="7"/>
        <v>4128740</v>
      </c>
    </row>
    <row r="175" spans="1:70">
      <c r="B175" s="261" t="s">
        <v>433</v>
      </c>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17">
        <f t="shared" si="5"/>
        <v>3446870</v>
      </c>
      <c r="AK175" s="217">
        <f t="shared" si="5"/>
        <v>100000</v>
      </c>
      <c r="AL175" s="217">
        <f t="shared" si="5"/>
        <v>0</v>
      </c>
      <c r="AM175" s="217">
        <f t="shared" si="5"/>
        <v>0</v>
      </c>
      <c r="AN175" s="217">
        <f t="shared" si="5"/>
        <v>0</v>
      </c>
      <c r="AO175" s="217">
        <f t="shared" si="5"/>
        <v>0</v>
      </c>
      <c r="AP175" s="217">
        <f t="shared" si="5"/>
        <v>0</v>
      </c>
      <c r="AQ175" s="217">
        <f t="shared" si="5"/>
        <v>0</v>
      </c>
      <c r="AR175" s="217">
        <f t="shared" si="5"/>
        <v>0</v>
      </c>
      <c r="AS175" s="217">
        <f t="shared" si="5"/>
        <v>20000</v>
      </c>
      <c r="AT175" s="217">
        <f t="shared" si="6"/>
        <v>0</v>
      </c>
      <c r="AU175" s="217">
        <f t="shared" si="6"/>
        <v>0</v>
      </c>
      <c r="AV175" s="217">
        <f t="shared" si="6"/>
        <v>0</v>
      </c>
      <c r="AW175" s="217">
        <f t="shared" si="6"/>
        <v>225000</v>
      </c>
      <c r="AX175" s="217">
        <f t="shared" si="6"/>
        <v>0</v>
      </c>
      <c r="AY175" s="217">
        <f t="shared" si="6"/>
        <v>0</v>
      </c>
      <c r="AZ175" s="217">
        <f t="shared" si="6"/>
        <v>0</v>
      </c>
      <c r="BA175" s="217">
        <f t="shared" si="6"/>
        <v>0</v>
      </c>
      <c r="BB175" s="217">
        <f t="shared" si="6"/>
        <v>3791870</v>
      </c>
      <c r="BC175" s="217"/>
      <c r="BD175" s="217"/>
      <c r="BE175" s="217">
        <f t="shared" si="7"/>
        <v>0</v>
      </c>
      <c r="BF175" s="217">
        <f t="shared" si="7"/>
        <v>0</v>
      </c>
      <c r="BG175" s="217">
        <f t="shared" si="7"/>
        <v>158260</v>
      </c>
      <c r="BH175" s="217">
        <f t="shared" si="7"/>
        <v>120660</v>
      </c>
      <c r="BI175" s="217">
        <f t="shared" si="7"/>
        <v>13890</v>
      </c>
      <c r="BJ175" s="217">
        <f t="shared" si="7"/>
        <v>0</v>
      </c>
      <c r="BK175" s="217">
        <f t="shared" si="7"/>
        <v>6980</v>
      </c>
      <c r="BL175" s="217">
        <f t="shared" si="7"/>
        <v>0</v>
      </c>
      <c r="BM175" s="217">
        <f t="shared" si="7"/>
        <v>0</v>
      </c>
      <c r="BN175" s="217">
        <f t="shared" si="7"/>
        <v>0</v>
      </c>
      <c r="BO175" s="217">
        <f t="shared" si="7"/>
        <v>0</v>
      </c>
      <c r="BP175" s="217">
        <f t="shared" si="7"/>
        <v>0</v>
      </c>
      <c r="BQ175" s="217">
        <f t="shared" si="7"/>
        <v>299790</v>
      </c>
      <c r="BR175" s="217">
        <f t="shared" si="7"/>
        <v>3492080</v>
      </c>
    </row>
    <row r="176" spans="1:70">
      <c r="B176" s="261" t="s">
        <v>434</v>
      </c>
      <c r="C176" s="245"/>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17">
        <f t="shared" si="5"/>
        <v>0</v>
      </c>
      <c r="AK176" s="217">
        <f t="shared" si="5"/>
        <v>0</v>
      </c>
      <c r="AL176" s="217">
        <f t="shared" si="5"/>
        <v>0</v>
      </c>
      <c r="AM176" s="217">
        <f t="shared" si="5"/>
        <v>0</v>
      </c>
      <c r="AN176" s="217">
        <f t="shared" si="5"/>
        <v>0</v>
      </c>
      <c r="AO176" s="217">
        <f t="shared" si="5"/>
        <v>0</v>
      </c>
      <c r="AP176" s="217">
        <f t="shared" si="5"/>
        <v>0</v>
      </c>
      <c r="AQ176" s="217">
        <f t="shared" si="5"/>
        <v>0</v>
      </c>
      <c r="AR176" s="217">
        <f t="shared" si="5"/>
        <v>0</v>
      </c>
      <c r="AS176" s="217">
        <f t="shared" si="5"/>
        <v>0</v>
      </c>
      <c r="AT176" s="217">
        <f t="shared" si="6"/>
        <v>0</v>
      </c>
      <c r="AU176" s="217">
        <f t="shared" si="6"/>
        <v>0</v>
      </c>
      <c r="AV176" s="217">
        <f t="shared" si="6"/>
        <v>0</v>
      </c>
      <c r="AW176" s="217">
        <f t="shared" si="6"/>
        <v>0</v>
      </c>
      <c r="AX176" s="217">
        <f t="shared" si="6"/>
        <v>0</v>
      </c>
      <c r="AY176" s="217">
        <f t="shared" si="6"/>
        <v>0</v>
      </c>
      <c r="AZ176" s="217">
        <f t="shared" si="6"/>
        <v>0</v>
      </c>
      <c r="BA176" s="217">
        <f t="shared" si="6"/>
        <v>0</v>
      </c>
      <c r="BB176" s="217">
        <f t="shared" si="6"/>
        <v>0</v>
      </c>
      <c r="BC176" s="217"/>
      <c r="BD176" s="217"/>
      <c r="BE176" s="217">
        <f t="shared" si="7"/>
        <v>0</v>
      </c>
      <c r="BF176" s="217">
        <f t="shared" si="7"/>
        <v>0</v>
      </c>
      <c r="BG176" s="217">
        <f t="shared" si="7"/>
        <v>0</v>
      </c>
      <c r="BH176" s="217">
        <f t="shared" si="7"/>
        <v>0</v>
      </c>
      <c r="BI176" s="217">
        <f t="shared" si="7"/>
        <v>0</v>
      </c>
      <c r="BJ176" s="217">
        <f t="shared" si="7"/>
        <v>0</v>
      </c>
      <c r="BK176" s="217">
        <f t="shared" si="7"/>
        <v>0</v>
      </c>
      <c r="BL176" s="217">
        <f t="shared" si="7"/>
        <v>0</v>
      </c>
      <c r="BM176" s="217">
        <f t="shared" si="7"/>
        <v>0</v>
      </c>
      <c r="BN176" s="217">
        <f t="shared" si="7"/>
        <v>0</v>
      </c>
      <c r="BO176" s="217">
        <f t="shared" si="7"/>
        <v>0</v>
      </c>
      <c r="BP176" s="217">
        <f t="shared" si="7"/>
        <v>0</v>
      </c>
      <c r="BQ176" s="217">
        <f t="shared" si="7"/>
        <v>0</v>
      </c>
      <c r="BR176" s="217">
        <f t="shared" si="7"/>
        <v>0</v>
      </c>
    </row>
    <row r="177" spans="2:70">
      <c r="B177" s="261" t="s">
        <v>435</v>
      </c>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17">
        <f t="shared" si="5"/>
        <v>0</v>
      </c>
      <c r="AK177" s="217">
        <f t="shared" si="5"/>
        <v>0</v>
      </c>
      <c r="AL177" s="217">
        <f t="shared" si="5"/>
        <v>0</v>
      </c>
      <c r="AM177" s="217">
        <f t="shared" si="5"/>
        <v>0</v>
      </c>
      <c r="AN177" s="217">
        <f t="shared" si="5"/>
        <v>0</v>
      </c>
      <c r="AO177" s="217">
        <f t="shared" si="5"/>
        <v>0</v>
      </c>
      <c r="AP177" s="217">
        <f t="shared" si="5"/>
        <v>0</v>
      </c>
      <c r="AQ177" s="217">
        <f t="shared" si="5"/>
        <v>0</v>
      </c>
      <c r="AR177" s="217">
        <f t="shared" si="5"/>
        <v>0</v>
      </c>
      <c r="AS177" s="217">
        <f t="shared" si="5"/>
        <v>0</v>
      </c>
      <c r="AT177" s="217">
        <f t="shared" si="6"/>
        <v>0</v>
      </c>
      <c r="AU177" s="217">
        <f t="shared" si="6"/>
        <v>0</v>
      </c>
      <c r="AV177" s="217">
        <f t="shared" si="6"/>
        <v>0</v>
      </c>
      <c r="AW177" s="217">
        <f t="shared" si="6"/>
        <v>0</v>
      </c>
      <c r="AX177" s="217">
        <f t="shared" si="6"/>
        <v>0</v>
      </c>
      <c r="AY177" s="217">
        <f t="shared" si="6"/>
        <v>0</v>
      </c>
      <c r="AZ177" s="217">
        <f t="shared" si="6"/>
        <v>0</v>
      </c>
      <c r="BA177" s="217">
        <f t="shared" si="6"/>
        <v>0</v>
      </c>
      <c r="BB177" s="217">
        <f t="shared" si="6"/>
        <v>0</v>
      </c>
      <c r="BC177" s="217"/>
      <c r="BD177" s="217"/>
      <c r="BE177" s="217">
        <f t="shared" si="7"/>
        <v>0</v>
      </c>
      <c r="BF177" s="217">
        <f t="shared" si="7"/>
        <v>0</v>
      </c>
      <c r="BG177" s="217">
        <f t="shared" si="7"/>
        <v>0</v>
      </c>
      <c r="BH177" s="217">
        <f t="shared" si="7"/>
        <v>0</v>
      </c>
      <c r="BI177" s="217">
        <f t="shared" si="7"/>
        <v>0</v>
      </c>
      <c r="BJ177" s="217">
        <f t="shared" si="7"/>
        <v>0</v>
      </c>
      <c r="BK177" s="217">
        <f t="shared" si="7"/>
        <v>0</v>
      </c>
      <c r="BL177" s="217">
        <f t="shared" si="7"/>
        <v>0</v>
      </c>
      <c r="BM177" s="217">
        <f t="shared" si="7"/>
        <v>0</v>
      </c>
      <c r="BN177" s="217">
        <f t="shared" si="7"/>
        <v>0</v>
      </c>
      <c r="BO177" s="217">
        <f t="shared" si="7"/>
        <v>0</v>
      </c>
      <c r="BP177" s="217">
        <f t="shared" si="7"/>
        <v>0</v>
      </c>
      <c r="BQ177" s="217">
        <f t="shared" si="7"/>
        <v>0</v>
      </c>
      <c r="BR177" s="217">
        <f t="shared" si="7"/>
        <v>0</v>
      </c>
    </row>
    <row r="178" spans="2:70">
      <c r="B178" s="261" t="s">
        <v>436</v>
      </c>
      <c r="C178" s="245"/>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5"/>
      <c r="AH178" s="245"/>
      <c r="AI178" s="245"/>
      <c r="AJ178" s="217">
        <f t="shared" ref="AJ178:AS185" si="8">SUMIF($B$3:$B$165,$B178,AJ$3:AJ$165)</f>
        <v>0</v>
      </c>
      <c r="AK178" s="217">
        <f t="shared" si="8"/>
        <v>0</v>
      </c>
      <c r="AL178" s="217">
        <f t="shared" si="8"/>
        <v>0</v>
      </c>
      <c r="AM178" s="217">
        <f t="shared" si="8"/>
        <v>0</v>
      </c>
      <c r="AN178" s="217">
        <f t="shared" si="8"/>
        <v>0</v>
      </c>
      <c r="AO178" s="217">
        <f t="shared" si="8"/>
        <v>0</v>
      </c>
      <c r="AP178" s="217">
        <f t="shared" si="8"/>
        <v>0</v>
      </c>
      <c r="AQ178" s="217">
        <f t="shared" si="8"/>
        <v>0</v>
      </c>
      <c r="AR178" s="217">
        <f t="shared" si="8"/>
        <v>0</v>
      </c>
      <c r="AS178" s="217">
        <f t="shared" si="8"/>
        <v>0</v>
      </c>
      <c r="AT178" s="217">
        <f t="shared" ref="AT178:BB185" si="9">SUMIF($B$3:$B$165,$B178,AT$3:AT$165)</f>
        <v>0</v>
      </c>
      <c r="AU178" s="217">
        <f t="shared" si="9"/>
        <v>0</v>
      </c>
      <c r="AV178" s="217">
        <f t="shared" si="9"/>
        <v>0</v>
      </c>
      <c r="AW178" s="217">
        <f t="shared" si="9"/>
        <v>0</v>
      </c>
      <c r="AX178" s="217">
        <f t="shared" si="9"/>
        <v>0</v>
      </c>
      <c r="AY178" s="217">
        <f t="shared" si="9"/>
        <v>0</v>
      </c>
      <c r="AZ178" s="217">
        <f t="shared" si="9"/>
        <v>0</v>
      </c>
      <c r="BA178" s="217">
        <f t="shared" si="9"/>
        <v>0</v>
      </c>
      <c r="BB178" s="217">
        <f t="shared" si="9"/>
        <v>0</v>
      </c>
      <c r="BC178" s="217"/>
      <c r="BD178" s="217"/>
      <c r="BE178" s="217">
        <f t="shared" ref="BE178:BR185" si="10">SUMIF($B$3:$B$165,$B178,BE$3:BE$165)</f>
        <v>0</v>
      </c>
      <c r="BF178" s="217">
        <f t="shared" si="10"/>
        <v>0</v>
      </c>
      <c r="BG178" s="217">
        <f t="shared" si="10"/>
        <v>0</v>
      </c>
      <c r="BH178" s="217">
        <f t="shared" si="10"/>
        <v>0</v>
      </c>
      <c r="BI178" s="217">
        <f t="shared" si="10"/>
        <v>0</v>
      </c>
      <c r="BJ178" s="217">
        <f t="shared" si="10"/>
        <v>0</v>
      </c>
      <c r="BK178" s="217">
        <f t="shared" si="10"/>
        <v>0</v>
      </c>
      <c r="BL178" s="217">
        <f t="shared" si="10"/>
        <v>0</v>
      </c>
      <c r="BM178" s="217">
        <f t="shared" si="10"/>
        <v>0</v>
      </c>
      <c r="BN178" s="217">
        <f t="shared" si="10"/>
        <v>0</v>
      </c>
      <c r="BO178" s="217">
        <f t="shared" si="10"/>
        <v>0</v>
      </c>
      <c r="BP178" s="217">
        <f t="shared" si="10"/>
        <v>0</v>
      </c>
      <c r="BQ178" s="217">
        <f t="shared" si="10"/>
        <v>0</v>
      </c>
      <c r="BR178" s="217">
        <f t="shared" si="10"/>
        <v>0</v>
      </c>
    </row>
    <row r="179" spans="2:70">
      <c r="B179" s="261" t="s">
        <v>437</v>
      </c>
      <c r="C179" s="245"/>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17">
        <f t="shared" si="8"/>
        <v>0</v>
      </c>
      <c r="AK179" s="217">
        <f t="shared" si="8"/>
        <v>0</v>
      </c>
      <c r="AL179" s="217">
        <f t="shared" si="8"/>
        <v>0</v>
      </c>
      <c r="AM179" s="217">
        <f t="shared" si="8"/>
        <v>0</v>
      </c>
      <c r="AN179" s="217">
        <f t="shared" si="8"/>
        <v>0</v>
      </c>
      <c r="AO179" s="217">
        <f t="shared" si="8"/>
        <v>0</v>
      </c>
      <c r="AP179" s="217">
        <f t="shared" si="8"/>
        <v>0</v>
      </c>
      <c r="AQ179" s="217">
        <f t="shared" si="8"/>
        <v>0</v>
      </c>
      <c r="AR179" s="217">
        <f t="shared" si="8"/>
        <v>0</v>
      </c>
      <c r="AS179" s="217">
        <f t="shared" si="8"/>
        <v>0</v>
      </c>
      <c r="AT179" s="217">
        <f t="shared" si="9"/>
        <v>0</v>
      </c>
      <c r="AU179" s="217">
        <f t="shared" si="9"/>
        <v>0</v>
      </c>
      <c r="AV179" s="217">
        <f t="shared" si="9"/>
        <v>0</v>
      </c>
      <c r="AW179" s="217">
        <f t="shared" si="9"/>
        <v>0</v>
      </c>
      <c r="AX179" s="217">
        <f t="shared" si="9"/>
        <v>0</v>
      </c>
      <c r="AY179" s="217">
        <f t="shared" si="9"/>
        <v>0</v>
      </c>
      <c r="AZ179" s="217">
        <f t="shared" si="9"/>
        <v>0</v>
      </c>
      <c r="BA179" s="217">
        <f t="shared" si="9"/>
        <v>0</v>
      </c>
      <c r="BB179" s="217">
        <f t="shared" si="9"/>
        <v>0</v>
      </c>
      <c r="BC179" s="217"/>
      <c r="BD179" s="217"/>
      <c r="BE179" s="217">
        <f t="shared" si="10"/>
        <v>0</v>
      </c>
      <c r="BF179" s="217">
        <f t="shared" si="10"/>
        <v>0</v>
      </c>
      <c r="BG179" s="217">
        <f t="shared" si="10"/>
        <v>0</v>
      </c>
      <c r="BH179" s="217">
        <f t="shared" si="10"/>
        <v>0</v>
      </c>
      <c r="BI179" s="217">
        <f t="shared" si="10"/>
        <v>0</v>
      </c>
      <c r="BJ179" s="217">
        <f t="shared" si="10"/>
        <v>0</v>
      </c>
      <c r="BK179" s="217">
        <f t="shared" si="10"/>
        <v>0</v>
      </c>
      <c r="BL179" s="217">
        <f t="shared" si="10"/>
        <v>0</v>
      </c>
      <c r="BM179" s="217">
        <f t="shared" si="10"/>
        <v>0</v>
      </c>
      <c r="BN179" s="217">
        <f t="shared" si="10"/>
        <v>0</v>
      </c>
      <c r="BO179" s="217">
        <f t="shared" si="10"/>
        <v>0</v>
      </c>
      <c r="BP179" s="217">
        <f t="shared" si="10"/>
        <v>0</v>
      </c>
      <c r="BQ179" s="217">
        <f t="shared" si="10"/>
        <v>0</v>
      </c>
      <c r="BR179" s="217">
        <f t="shared" si="10"/>
        <v>0</v>
      </c>
    </row>
    <row r="180" spans="2:70">
      <c r="B180" s="261" t="s">
        <v>438</v>
      </c>
      <c r="C180" s="245"/>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17">
        <f t="shared" si="8"/>
        <v>0</v>
      </c>
      <c r="AK180" s="217">
        <f t="shared" si="8"/>
        <v>0</v>
      </c>
      <c r="AL180" s="217">
        <f t="shared" si="8"/>
        <v>0</v>
      </c>
      <c r="AM180" s="217">
        <f t="shared" si="8"/>
        <v>0</v>
      </c>
      <c r="AN180" s="217">
        <f t="shared" si="8"/>
        <v>0</v>
      </c>
      <c r="AO180" s="217">
        <f t="shared" si="8"/>
        <v>0</v>
      </c>
      <c r="AP180" s="217">
        <f t="shared" si="8"/>
        <v>0</v>
      </c>
      <c r="AQ180" s="217">
        <f t="shared" si="8"/>
        <v>0</v>
      </c>
      <c r="AR180" s="217">
        <f t="shared" si="8"/>
        <v>0</v>
      </c>
      <c r="AS180" s="217">
        <f t="shared" si="8"/>
        <v>0</v>
      </c>
      <c r="AT180" s="217">
        <f t="shared" si="9"/>
        <v>0</v>
      </c>
      <c r="AU180" s="217">
        <f t="shared" si="9"/>
        <v>0</v>
      </c>
      <c r="AV180" s="217">
        <f t="shared" si="9"/>
        <v>0</v>
      </c>
      <c r="AW180" s="217">
        <f t="shared" si="9"/>
        <v>0</v>
      </c>
      <c r="AX180" s="217">
        <f t="shared" si="9"/>
        <v>0</v>
      </c>
      <c r="AY180" s="217">
        <f t="shared" si="9"/>
        <v>0</v>
      </c>
      <c r="AZ180" s="217">
        <f t="shared" si="9"/>
        <v>0</v>
      </c>
      <c r="BA180" s="217">
        <f t="shared" si="9"/>
        <v>0</v>
      </c>
      <c r="BB180" s="217">
        <f t="shared" si="9"/>
        <v>0</v>
      </c>
      <c r="BC180" s="217"/>
      <c r="BD180" s="217"/>
      <c r="BE180" s="217">
        <f t="shared" si="10"/>
        <v>0</v>
      </c>
      <c r="BF180" s="217">
        <f t="shared" si="10"/>
        <v>0</v>
      </c>
      <c r="BG180" s="217">
        <f t="shared" si="10"/>
        <v>0</v>
      </c>
      <c r="BH180" s="217">
        <f t="shared" si="10"/>
        <v>0</v>
      </c>
      <c r="BI180" s="217">
        <f t="shared" si="10"/>
        <v>0</v>
      </c>
      <c r="BJ180" s="217">
        <f t="shared" si="10"/>
        <v>0</v>
      </c>
      <c r="BK180" s="217">
        <f t="shared" si="10"/>
        <v>0</v>
      </c>
      <c r="BL180" s="217">
        <f t="shared" si="10"/>
        <v>0</v>
      </c>
      <c r="BM180" s="217">
        <f t="shared" si="10"/>
        <v>0</v>
      </c>
      <c r="BN180" s="217">
        <f t="shared" si="10"/>
        <v>0</v>
      </c>
      <c r="BO180" s="217">
        <f t="shared" si="10"/>
        <v>0</v>
      </c>
      <c r="BP180" s="217">
        <f t="shared" si="10"/>
        <v>0</v>
      </c>
      <c r="BQ180" s="217">
        <f t="shared" si="10"/>
        <v>0</v>
      </c>
      <c r="BR180" s="217">
        <f t="shared" si="10"/>
        <v>0</v>
      </c>
    </row>
    <row r="181" spans="2:70">
      <c r="B181" s="261" t="s">
        <v>478</v>
      </c>
      <c r="C181" s="245"/>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17"/>
      <c r="AJ181" s="217">
        <f t="shared" si="8"/>
        <v>0</v>
      </c>
      <c r="AK181" s="217">
        <f t="shared" si="8"/>
        <v>0</v>
      </c>
      <c r="AL181" s="217">
        <f t="shared" si="8"/>
        <v>0</v>
      </c>
      <c r="AM181" s="217">
        <f t="shared" si="8"/>
        <v>0</v>
      </c>
      <c r="AN181" s="217">
        <f t="shared" si="8"/>
        <v>0</v>
      </c>
      <c r="AO181" s="217">
        <f t="shared" si="8"/>
        <v>0</v>
      </c>
      <c r="AP181" s="217">
        <f t="shared" si="8"/>
        <v>0</v>
      </c>
      <c r="AQ181" s="217">
        <f t="shared" si="8"/>
        <v>0</v>
      </c>
      <c r="AR181" s="217">
        <f t="shared" si="8"/>
        <v>0</v>
      </c>
      <c r="AS181" s="217">
        <f t="shared" si="8"/>
        <v>0</v>
      </c>
      <c r="AT181" s="217">
        <f t="shared" si="9"/>
        <v>0</v>
      </c>
      <c r="AU181" s="217">
        <f t="shared" si="9"/>
        <v>0</v>
      </c>
      <c r="AV181" s="217">
        <f t="shared" si="9"/>
        <v>0</v>
      </c>
      <c r="AW181" s="217">
        <f t="shared" si="9"/>
        <v>0</v>
      </c>
      <c r="AX181" s="217">
        <f t="shared" si="9"/>
        <v>0</v>
      </c>
      <c r="AY181" s="217">
        <f t="shared" si="9"/>
        <v>0</v>
      </c>
      <c r="AZ181" s="217">
        <f t="shared" si="9"/>
        <v>0</v>
      </c>
      <c r="BA181" s="217">
        <f t="shared" si="9"/>
        <v>0</v>
      </c>
      <c r="BB181" s="217">
        <f t="shared" si="9"/>
        <v>0</v>
      </c>
      <c r="BC181" s="217"/>
      <c r="BD181" s="217"/>
      <c r="BE181" s="217">
        <f t="shared" si="10"/>
        <v>0</v>
      </c>
      <c r="BF181" s="217">
        <f t="shared" si="10"/>
        <v>0</v>
      </c>
      <c r="BG181" s="217">
        <f t="shared" si="10"/>
        <v>0</v>
      </c>
      <c r="BH181" s="217">
        <f t="shared" si="10"/>
        <v>0</v>
      </c>
      <c r="BI181" s="217">
        <f t="shared" si="10"/>
        <v>0</v>
      </c>
      <c r="BJ181" s="217">
        <f t="shared" si="10"/>
        <v>0</v>
      </c>
      <c r="BK181" s="217">
        <f t="shared" si="10"/>
        <v>0</v>
      </c>
      <c r="BL181" s="217">
        <f t="shared" si="10"/>
        <v>0</v>
      </c>
      <c r="BM181" s="217">
        <f t="shared" si="10"/>
        <v>0</v>
      </c>
      <c r="BN181" s="217">
        <f t="shared" si="10"/>
        <v>0</v>
      </c>
      <c r="BO181" s="217">
        <f t="shared" si="10"/>
        <v>0</v>
      </c>
      <c r="BP181" s="217">
        <f t="shared" si="10"/>
        <v>0</v>
      </c>
      <c r="BQ181" s="217">
        <f t="shared" si="10"/>
        <v>0</v>
      </c>
      <c r="BR181" s="217">
        <f t="shared" si="10"/>
        <v>0</v>
      </c>
    </row>
    <row r="182" spans="2:70">
      <c r="B182" s="261" t="s">
        <v>479</v>
      </c>
      <c r="C182" s="245"/>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17"/>
      <c r="AJ182" s="217">
        <f t="shared" si="8"/>
        <v>0</v>
      </c>
      <c r="AK182" s="217">
        <f t="shared" si="8"/>
        <v>0</v>
      </c>
      <c r="AL182" s="217">
        <f t="shared" si="8"/>
        <v>0</v>
      </c>
      <c r="AM182" s="217">
        <f t="shared" si="8"/>
        <v>0</v>
      </c>
      <c r="AN182" s="217">
        <f t="shared" si="8"/>
        <v>0</v>
      </c>
      <c r="AO182" s="217">
        <f t="shared" si="8"/>
        <v>0</v>
      </c>
      <c r="AP182" s="217">
        <f t="shared" si="8"/>
        <v>0</v>
      </c>
      <c r="AQ182" s="217">
        <f t="shared" si="8"/>
        <v>0</v>
      </c>
      <c r="AR182" s="217">
        <f t="shared" si="8"/>
        <v>0</v>
      </c>
      <c r="AS182" s="217">
        <f t="shared" si="8"/>
        <v>0</v>
      </c>
      <c r="AT182" s="217">
        <f t="shared" si="9"/>
        <v>0</v>
      </c>
      <c r="AU182" s="217">
        <f t="shared" si="9"/>
        <v>0</v>
      </c>
      <c r="AV182" s="217">
        <f t="shared" si="9"/>
        <v>0</v>
      </c>
      <c r="AW182" s="217">
        <f t="shared" si="9"/>
        <v>0</v>
      </c>
      <c r="AX182" s="217">
        <f t="shared" si="9"/>
        <v>0</v>
      </c>
      <c r="AY182" s="217">
        <f t="shared" si="9"/>
        <v>0</v>
      </c>
      <c r="AZ182" s="217">
        <f t="shared" si="9"/>
        <v>0</v>
      </c>
      <c r="BA182" s="217">
        <f t="shared" si="9"/>
        <v>0</v>
      </c>
      <c r="BB182" s="217">
        <f t="shared" si="9"/>
        <v>0</v>
      </c>
      <c r="BC182" s="217"/>
      <c r="BD182" s="217"/>
      <c r="BE182" s="217">
        <f t="shared" si="10"/>
        <v>0</v>
      </c>
      <c r="BF182" s="217">
        <f t="shared" si="10"/>
        <v>0</v>
      </c>
      <c r="BG182" s="217">
        <f t="shared" si="10"/>
        <v>0</v>
      </c>
      <c r="BH182" s="217">
        <f t="shared" si="10"/>
        <v>0</v>
      </c>
      <c r="BI182" s="217">
        <f t="shared" si="10"/>
        <v>0</v>
      </c>
      <c r="BJ182" s="217">
        <f t="shared" si="10"/>
        <v>0</v>
      </c>
      <c r="BK182" s="217">
        <f t="shared" si="10"/>
        <v>0</v>
      </c>
      <c r="BL182" s="217">
        <f t="shared" si="10"/>
        <v>0</v>
      </c>
      <c r="BM182" s="217">
        <f t="shared" si="10"/>
        <v>0</v>
      </c>
      <c r="BN182" s="217">
        <f t="shared" si="10"/>
        <v>0</v>
      </c>
      <c r="BO182" s="217">
        <f t="shared" si="10"/>
        <v>0</v>
      </c>
      <c r="BP182" s="217">
        <f t="shared" si="10"/>
        <v>0</v>
      </c>
      <c r="BQ182" s="217">
        <f t="shared" si="10"/>
        <v>0</v>
      </c>
      <c r="BR182" s="217">
        <f t="shared" si="10"/>
        <v>0</v>
      </c>
    </row>
    <row r="183" spans="2:70">
      <c r="B183" s="261" t="s">
        <v>480</v>
      </c>
      <c r="C183" s="245"/>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c r="AC183" s="245"/>
      <c r="AD183" s="245"/>
      <c r="AE183" s="245"/>
      <c r="AF183" s="245"/>
      <c r="AG183" s="245"/>
      <c r="AH183" s="245"/>
      <c r="AI183" s="217"/>
      <c r="AJ183" s="217">
        <f t="shared" si="8"/>
        <v>0</v>
      </c>
      <c r="AK183" s="217">
        <f t="shared" si="8"/>
        <v>0</v>
      </c>
      <c r="AL183" s="217">
        <f t="shared" si="8"/>
        <v>0</v>
      </c>
      <c r="AM183" s="217">
        <f t="shared" si="8"/>
        <v>0</v>
      </c>
      <c r="AN183" s="217">
        <f t="shared" si="8"/>
        <v>0</v>
      </c>
      <c r="AO183" s="217">
        <f t="shared" si="8"/>
        <v>0</v>
      </c>
      <c r="AP183" s="217">
        <f t="shared" si="8"/>
        <v>0</v>
      </c>
      <c r="AQ183" s="217">
        <f t="shared" si="8"/>
        <v>0</v>
      </c>
      <c r="AR183" s="217">
        <f t="shared" si="8"/>
        <v>0</v>
      </c>
      <c r="AS183" s="217">
        <f t="shared" si="8"/>
        <v>0</v>
      </c>
      <c r="AT183" s="217">
        <f t="shared" si="9"/>
        <v>0</v>
      </c>
      <c r="AU183" s="217">
        <f t="shared" si="9"/>
        <v>0</v>
      </c>
      <c r="AV183" s="217">
        <f t="shared" si="9"/>
        <v>0</v>
      </c>
      <c r="AW183" s="217">
        <f t="shared" si="9"/>
        <v>0</v>
      </c>
      <c r="AX183" s="217">
        <f t="shared" si="9"/>
        <v>0</v>
      </c>
      <c r="AY183" s="217">
        <f t="shared" si="9"/>
        <v>0</v>
      </c>
      <c r="AZ183" s="217">
        <f t="shared" si="9"/>
        <v>0</v>
      </c>
      <c r="BA183" s="217">
        <f t="shared" si="9"/>
        <v>0</v>
      </c>
      <c r="BB183" s="217">
        <f t="shared" si="9"/>
        <v>0</v>
      </c>
      <c r="BC183" s="217"/>
      <c r="BD183" s="217"/>
      <c r="BE183" s="217">
        <f t="shared" si="10"/>
        <v>0</v>
      </c>
      <c r="BF183" s="217">
        <f t="shared" si="10"/>
        <v>0</v>
      </c>
      <c r="BG183" s="217">
        <f t="shared" si="10"/>
        <v>0</v>
      </c>
      <c r="BH183" s="217">
        <f t="shared" si="10"/>
        <v>0</v>
      </c>
      <c r="BI183" s="217">
        <f t="shared" si="10"/>
        <v>0</v>
      </c>
      <c r="BJ183" s="217">
        <f t="shared" si="10"/>
        <v>0</v>
      </c>
      <c r="BK183" s="217">
        <f t="shared" si="10"/>
        <v>0</v>
      </c>
      <c r="BL183" s="217">
        <f t="shared" si="10"/>
        <v>0</v>
      </c>
      <c r="BM183" s="217">
        <f t="shared" si="10"/>
        <v>0</v>
      </c>
      <c r="BN183" s="217">
        <f t="shared" si="10"/>
        <v>0</v>
      </c>
      <c r="BO183" s="217">
        <f t="shared" si="10"/>
        <v>0</v>
      </c>
      <c r="BP183" s="217">
        <f t="shared" si="10"/>
        <v>0</v>
      </c>
      <c r="BQ183" s="217">
        <f t="shared" si="10"/>
        <v>0</v>
      </c>
      <c r="BR183" s="217">
        <f t="shared" si="10"/>
        <v>0</v>
      </c>
    </row>
    <row r="184" spans="2:70">
      <c r="B184" s="261" t="s">
        <v>481</v>
      </c>
      <c r="C184" s="245"/>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5"/>
      <c r="AG184" s="245"/>
      <c r="AH184" s="245"/>
      <c r="AI184" s="217"/>
      <c r="AJ184" s="217">
        <f t="shared" si="8"/>
        <v>0</v>
      </c>
      <c r="AK184" s="217">
        <f t="shared" si="8"/>
        <v>0</v>
      </c>
      <c r="AL184" s="217">
        <f t="shared" si="8"/>
        <v>0</v>
      </c>
      <c r="AM184" s="217">
        <f t="shared" si="8"/>
        <v>0</v>
      </c>
      <c r="AN184" s="217">
        <f t="shared" si="8"/>
        <v>0</v>
      </c>
      <c r="AO184" s="217">
        <f t="shared" si="8"/>
        <v>0</v>
      </c>
      <c r="AP184" s="217">
        <f t="shared" si="8"/>
        <v>0</v>
      </c>
      <c r="AQ184" s="217">
        <f t="shared" si="8"/>
        <v>0</v>
      </c>
      <c r="AR184" s="217">
        <f t="shared" si="8"/>
        <v>0</v>
      </c>
      <c r="AS184" s="217">
        <f t="shared" si="8"/>
        <v>0</v>
      </c>
      <c r="AT184" s="217">
        <f t="shared" si="9"/>
        <v>0</v>
      </c>
      <c r="AU184" s="217">
        <f t="shared" si="9"/>
        <v>0</v>
      </c>
      <c r="AV184" s="217">
        <f t="shared" si="9"/>
        <v>0</v>
      </c>
      <c r="AW184" s="217">
        <f t="shared" si="9"/>
        <v>0</v>
      </c>
      <c r="AX184" s="217">
        <f t="shared" si="9"/>
        <v>0</v>
      </c>
      <c r="AY184" s="217">
        <f t="shared" si="9"/>
        <v>0</v>
      </c>
      <c r="AZ184" s="217">
        <f t="shared" si="9"/>
        <v>0</v>
      </c>
      <c r="BA184" s="217">
        <f t="shared" si="9"/>
        <v>0</v>
      </c>
      <c r="BB184" s="217">
        <f t="shared" si="9"/>
        <v>0</v>
      </c>
      <c r="BC184" s="217"/>
      <c r="BD184" s="217"/>
      <c r="BE184" s="217">
        <f t="shared" si="10"/>
        <v>0</v>
      </c>
      <c r="BF184" s="217">
        <f t="shared" si="10"/>
        <v>0</v>
      </c>
      <c r="BG184" s="217">
        <f t="shared" si="10"/>
        <v>0</v>
      </c>
      <c r="BH184" s="217">
        <f t="shared" si="10"/>
        <v>0</v>
      </c>
      <c r="BI184" s="217">
        <f t="shared" si="10"/>
        <v>0</v>
      </c>
      <c r="BJ184" s="217">
        <f t="shared" si="10"/>
        <v>0</v>
      </c>
      <c r="BK184" s="217">
        <f t="shared" si="10"/>
        <v>0</v>
      </c>
      <c r="BL184" s="217">
        <f t="shared" si="10"/>
        <v>0</v>
      </c>
      <c r="BM184" s="217">
        <f t="shared" si="10"/>
        <v>0</v>
      </c>
      <c r="BN184" s="217">
        <f t="shared" si="10"/>
        <v>0</v>
      </c>
      <c r="BO184" s="217">
        <f t="shared" si="10"/>
        <v>0</v>
      </c>
      <c r="BP184" s="217">
        <f t="shared" si="10"/>
        <v>0</v>
      </c>
      <c r="BQ184" s="217">
        <f t="shared" si="10"/>
        <v>0</v>
      </c>
      <c r="BR184" s="217">
        <f t="shared" si="10"/>
        <v>0</v>
      </c>
    </row>
    <row r="185" spans="2:70">
      <c r="B185" s="261" t="s">
        <v>482</v>
      </c>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17">
        <f t="shared" si="8"/>
        <v>0</v>
      </c>
      <c r="AK185" s="217">
        <f t="shared" si="8"/>
        <v>0</v>
      </c>
      <c r="AL185" s="217">
        <f t="shared" si="8"/>
        <v>0</v>
      </c>
      <c r="AM185" s="217">
        <f t="shared" si="8"/>
        <v>0</v>
      </c>
      <c r="AN185" s="217">
        <f t="shared" si="8"/>
        <v>0</v>
      </c>
      <c r="AO185" s="217">
        <f t="shared" si="8"/>
        <v>0</v>
      </c>
      <c r="AP185" s="217">
        <f t="shared" si="8"/>
        <v>0</v>
      </c>
      <c r="AQ185" s="217">
        <f t="shared" si="8"/>
        <v>0</v>
      </c>
      <c r="AR185" s="217">
        <f t="shared" si="8"/>
        <v>0</v>
      </c>
      <c r="AS185" s="217">
        <f t="shared" si="8"/>
        <v>0</v>
      </c>
      <c r="AT185" s="217">
        <f t="shared" si="9"/>
        <v>0</v>
      </c>
      <c r="AU185" s="217">
        <f t="shared" si="9"/>
        <v>0</v>
      </c>
      <c r="AV185" s="217">
        <f t="shared" si="9"/>
        <v>0</v>
      </c>
      <c r="AW185" s="217">
        <f t="shared" si="9"/>
        <v>0</v>
      </c>
      <c r="AX185" s="217">
        <f t="shared" si="9"/>
        <v>0</v>
      </c>
      <c r="AY185" s="217">
        <f t="shared" si="9"/>
        <v>0</v>
      </c>
      <c r="AZ185" s="217">
        <f t="shared" si="9"/>
        <v>0</v>
      </c>
      <c r="BA185" s="217">
        <f t="shared" si="9"/>
        <v>0</v>
      </c>
      <c r="BB185" s="217">
        <f t="shared" si="9"/>
        <v>0</v>
      </c>
      <c r="BC185" s="217"/>
      <c r="BD185" s="217"/>
      <c r="BE185" s="217">
        <f t="shared" si="10"/>
        <v>0</v>
      </c>
      <c r="BF185" s="217">
        <f t="shared" si="10"/>
        <v>0</v>
      </c>
      <c r="BG185" s="217">
        <f t="shared" si="10"/>
        <v>0</v>
      </c>
      <c r="BH185" s="217">
        <f t="shared" si="10"/>
        <v>0</v>
      </c>
      <c r="BI185" s="217">
        <f t="shared" si="10"/>
        <v>0</v>
      </c>
      <c r="BJ185" s="217">
        <f t="shared" si="10"/>
        <v>0</v>
      </c>
      <c r="BK185" s="217">
        <f t="shared" si="10"/>
        <v>0</v>
      </c>
      <c r="BL185" s="217">
        <f t="shared" si="10"/>
        <v>0</v>
      </c>
      <c r="BM185" s="217">
        <f t="shared" si="10"/>
        <v>0</v>
      </c>
      <c r="BN185" s="217">
        <f t="shared" si="10"/>
        <v>0</v>
      </c>
      <c r="BO185" s="217">
        <f t="shared" si="10"/>
        <v>0</v>
      </c>
      <c r="BP185" s="217">
        <f t="shared" si="10"/>
        <v>0</v>
      </c>
      <c r="BQ185" s="217">
        <f t="shared" si="10"/>
        <v>0</v>
      </c>
      <c r="BR185" s="217">
        <f t="shared" si="10"/>
        <v>0</v>
      </c>
    </row>
    <row r="186" spans="2:70">
      <c r="B186" s="325" t="s">
        <v>114</v>
      </c>
      <c r="C186" s="245"/>
      <c r="D186" s="245"/>
      <c r="E186" s="245"/>
      <c r="F186" s="245"/>
      <c r="G186" s="245"/>
      <c r="H186" s="245"/>
      <c r="I186" s="245"/>
      <c r="J186" s="245"/>
      <c r="K186" s="245"/>
      <c r="L186" s="245"/>
      <c r="M186" s="245"/>
      <c r="N186" s="245"/>
      <c r="O186" s="245"/>
      <c r="P186" s="245"/>
      <c r="Q186" s="245"/>
      <c r="R186" s="245"/>
      <c r="S186" s="245"/>
      <c r="T186" s="245"/>
      <c r="U186" s="245"/>
      <c r="V186" s="245"/>
      <c r="W186" s="245"/>
      <c r="X186" s="245"/>
      <c r="Y186" s="245"/>
      <c r="Z186" s="245"/>
      <c r="AA186" s="245"/>
      <c r="AB186" s="245"/>
      <c r="AC186" s="245"/>
      <c r="AD186" s="245"/>
      <c r="AE186" s="245"/>
      <c r="AF186" s="245"/>
      <c r="AG186" s="245"/>
      <c r="AH186" s="245"/>
      <c r="AI186" s="245"/>
      <c r="AJ186" s="217">
        <f t="shared" ref="AJ186:BR186" si="11">SUM(AJ168:AJ185)</f>
        <v>26245610</v>
      </c>
      <c r="AK186" s="217">
        <f t="shared" si="11"/>
        <v>200000</v>
      </c>
      <c r="AL186" s="217">
        <f t="shared" si="11"/>
        <v>0</v>
      </c>
      <c r="AM186" s="217">
        <f t="shared" si="11"/>
        <v>250000</v>
      </c>
      <c r="AN186" s="217">
        <f t="shared" si="11"/>
        <v>70000</v>
      </c>
      <c r="AO186" s="217">
        <f t="shared" si="11"/>
        <v>7625620</v>
      </c>
      <c r="AP186" s="217">
        <f t="shared" si="11"/>
        <v>0</v>
      </c>
      <c r="AQ186" s="217">
        <f t="shared" si="11"/>
        <v>0</v>
      </c>
      <c r="AR186" s="217">
        <f t="shared" si="11"/>
        <v>35000</v>
      </c>
      <c r="AS186" s="217">
        <f t="shared" si="11"/>
        <v>767500</v>
      </c>
      <c r="AT186" s="217">
        <f t="shared" si="11"/>
        <v>0</v>
      </c>
      <c r="AU186" s="217">
        <f t="shared" si="11"/>
        <v>340280</v>
      </c>
      <c r="AV186" s="217">
        <f t="shared" si="11"/>
        <v>1652680</v>
      </c>
      <c r="AW186" s="217">
        <f t="shared" si="11"/>
        <v>4556250</v>
      </c>
      <c r="AX186" s="217">
        <f t="shared" si="11"/>
        <v>0</v>
      </c>
      <c r="AY186" s="217">
        <f t="shared" si="11"/>
        <v>0</v>
      </c>
      <c r="AZ186" s="217">
        <f t="shared" si="11"/>
        <v>0</v>
      </c>
      <c r="BA186" s="217">
        <f t="shared" si="11"/>
        <v>0</v>
      </c>
      <c r="BB186" s="217">
        <f t="shared" si="11"/>
        <v>41742940</v>
      </c>
      <c r="BC186" s="217"/>
      <c r="BD186" s="217"/>
      <c r="BE186" s="217">
        <f t="shared" si="11"/>
        <v>0</v>
      </c>
      <c r="BF186" s="217">
        <f t="shared" si="11"/>
        <v>0</v>
      </c>
      <c r="BG186" s="217">
        <f t="shared" si="11"/>
        <v>1635440</v>
      </c>
      <c r="BH186" s="217">
        <f t="shared" si="11"/>
        <v>1430480</v>
      </c>
      <c r="BI186" s="217">
        <f t="shared" si="11"/>
        <v>164660</v>
      </c>
      <c r="BJ186" s="217">
        <f t="shared" si="11"/>
        <v>-5960</v>
      </c>
      <c r="BK186" s="217">
        <f t="shared" si="11"/>
        <v>296400</v>
      </c>
      <c r="BL186" s="217">
        <f t="shared" si="11"/>
        <v>0</v>
      </c>
      <c r="BM186" s="217">
        <f t="shared" si="11"/>
        <v>5280000</v>
      </c>
      <c r="BN186" s="217">
        <f t="shared" si="11"/>
        <v>0</v>
      </c>
      <c r="BO186" s="217">
        <f t="shared" si="11"/>
        <v>0</v>
      </c>
      <c r="BP186" s="217">
        <f t="shared" si="11"/>
        <v>0</v>
      </c>
      <c r="BQ186" s="217">
        <f t="shared" si="11"/>
        <v>8801020</v>
      </c>
      <c r="BR186" s="217">
        <f t="shared" si="11"/>
        <v>32941920</v>
      </c>
    </row>
    <row r="187" spans="2:70">
      <c r="B187"/>
      <c r="AJ187" s="326">
        <f>AJ165-AJ186</f>
        <v>150443540</v>
      </c>
      <c r="AK187" s="326">
        <f t="shared" ref="AK187:BR187" si="12">AK165-AK186</f>
        <v>900000</v>
      </c>
      <c r="AL187" s="326">
        <f t="shared" si="12"/>
        <v>0</v>
      </c>
      <c r="AM187" s="326">
        <f t="shared" si="12"/>
        <v>1125000</v>
      </c>
      <c r="AN187" s="326">
        <f t="shared" si="12"/>
        <v>320000</v>
      </c>
      <c r="AO187" s="326">
        <f t="shared" si="12"/>
        <v>23865620</v>
      </c>
      <c r="AP187" s="326">
        <f t="shared" si="12"/>
        <v>365730</v>
      </c>
      <c r="AQ187" s="326">
        <f t="shared" si="12"/>
        <v>8810250</v>
      </c>
      <c r="AR187" s="326">
        <f t="shared" si="12"/>
        <v>35000</v>
      </c>
      <c r="AS187" s="326">
        <f t="shared" si="12"/>
        <v>2725000</v>
      </c>
      <c r="AT187" s="326">
        <f t="shared" si="12"/>
        <v>1300000</v>
      </c>
      <c r="AU187" s="326">
        <f t="shared" si="12"/>
        <v>1442800</v>
      </c>
      <c r="AV187" s="326">
        <f t="shared" si="12"/>
        <v>11340810</v>
      </c>
      <c r="AW187" s="326">
        <f t="shared" si="12"/>
        <v>956250</v>
      </c>
      <c r="AX187" s="326">
        <f t="shared" si="12"/>
        <v>0</v>
      </c>
      <c r="AY187" s="326">
        <f t="shared" si="12"/>
        <v>0</v>
      </c>
      <c r="AZ187" s="326">
        <f t="shared" si="12"/>
        <v>9178710</v>
      </c>
      <c r="BA187" s="326">
        <f t="shared" si="12"/>
        <v>0</v>
      </c>
      <c r="BB187" s="326">
        <f t="shared" si="12"/>
        <v>212841980</v>
      </c>
      <c r="BC187" s="326"/>
      <c r="BD187" s="326"/>
      <c r="BE187" s="326">
        <f t="shared" si="12"/>
        <v>488270</v>
      </c>
      <c r="BF187" s="326">
        <f t="shared" si="12"/>
        <v>48880</v>
      </c>
      <c r="BG187" s="326">
        <f t="shared" si="12"/>
        <v>6634000</v>
      </c>
      <c r="BH187" s="326">
        <f t="shared" si="12"/>
        <v>5719360</v>
      </c>
      <c r="BI187" s="326">
        <f t="shared" si="12"/>
        <v>646540</v>
      </c>
      <c r="BJ187" s="326">
        <f t="shared" si="12"/>
        <v>-38740</v>
      </c>
      <c r="BK187" s="326">
        <f t="shared" si="12"/>
        <v>1246480</v>
      </c>
      <c r="BL187" s="326">
        <f t="shared" si="12"/>
        <v>-8420</v>
      </c>
      <c r="BM187" s="326">
        <f t="shared" si="12"/>
        <v>17760000</v>
      </c>
      <c r="BN187" s="326">
        <f t="shared" si="12"/>
        <v>17630</v>
      </c>
      <c r="BO187" s="326">
        <f t="shared" si="12"/>
        <v>0</v>
      </c>
      <c r="BP187" s="326">
        <f t="shared" si="12"/>
        <v>245360</v>
      </c>
      <c r="BQ187" s="326">
        <f t="shared" si="12"/>
        <v>32759360</v>
      </c>
      <c r="BR187" s="326">
        <f t="shared" si="12"/>
        <v>180082620</v>
      </c>
    </row>
    <row r="188" spans="2:70">
      <c r="B188"/>
    </row>
    <row r="189" spans="2:70">
      <c r="B189"/>
    </row>
    <row r="190" spans="2:70">
      <c r="B190"/>
    </row>
    <row r="191" spans="2:70">
      <c r="B191"/>
    </row>
    <row r="192" spans="2:70">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0" spans="2:2">
      <c r="B240"/>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sheetData>
  <autoFilter ref="A2:BR147">
    <filterColumn colId="10" showButton="0"/>
    <filterColumn colId="11" showButton="0"/>
    <filterColumn colId="13" showButton="0"/>
    <filterColumn colId="14" showButton="0"/>
    <filterColumn colId="16" showButton="0"/>
    <filterColumn colId="17" showButton="0"/>
    <filterColumn colId="19" showButton="0"/>
    <filterColumn colId="20" showButton="0"/>
  </autoFilter>
  <mergeCells count="4">
    <mergeCell ref="K2:M2"/>
    <mergeCell ref="N2:P2"/>
    <mergeCell ref="Q2:S2"/>
    <mergeCell ref="T2:V2"/>
  </mergeCells>
  <phoneticPr fontId="3" type="noConversion"/>
  <conditionalFormatting sqref="AG3:AG14 AG159:AG164 AG76:AG96 AG41:AG68 AG104:AG120 AG137:AG149">
    <cfRule type="expression" dxfId="8" priority="27" stopIfTrue="1">
      <formula>$AF3&lt;&gt;$AG3</formula>
    </cfRule>
  </conditionalFormatting>
  <conditionalFormatting sqref="AG165:AG166">
    <cfRule type="expression" dxfId="7" priority="24" stopIfTrue="1">
      <formula>$AF165&lt;&gt;$AG165</formula>
    </cfRule>
  </conditionalFormatting>
  <conditionalFormatting sqref="AG15:AG26">
    <cfRule type="expression" dxfId="6" priority="23" stopIfTrue="1">
      <formula>$AF15&lt;&gt;$AG15</formula>
    </cfRule>
  </conditionalFormatting>
  <conditionalFormatting sqref="AG69:AG75">
    <cfRule type="expression" dxfId="5" priority="20" stopIfTrue="1">
      <formula>$AF69&lt;&gt;$AG69</formula>
    </cfRule>
  </conditionalFormatting>
  <conditionalFormatting sqref="AG27:AG40">
    <cfRule type="expression" dxfId="4" priority="15" stopIfTrue="1">
      <formula>$AF27&lt;&gt;$AG27</formula>
    </cfRule>
  </conditionalFormatting>
  <conditionalFormatting sqref="AG97:AG103">
    <cfRule type="expression" dxfId="3" priority="9" stopIfTrue="1">
      <formula>$AF97&lt;&gt;$AG97</formula>
    </cfRule>
  </conditionalFormatting>
  <conditionalFormatting sqref="AG150:AG158">
    <cfRule type="expression" dxfId="2" priority="4" stopIfTrue="1">
      <formula>$AF150&lt;&gt;$AG150</formula>
    </cfRule>
  </conditionalFormatting>
  <conditionalFormatting sqref="AG121:AG123">
    <cfRule type="expression" dxfId="1" priority="2" stopIfTrue="1">
      <formula>$AF121&lt;&gt;$AG121</formula>
    </cfRule>
  </conditionalFormatting>
  <conditionalFormatting sqref="AG124:AG136">
    <cfRule type="expression" dxfId="0" priority="1" stopIfTrue="1">
      <formula>$AF124&lt;&gt;$AG124</formula>
    </cfRule>
  </conditionalFormatting>
  <dataValidations disablePrompts="1" count="2">
    <dataValidation type="date" allowBlank="1" showInputMessage="1" showErrorMessage="1" error="_x000a_날짜서식으로 입력하세요_x000a_2011-12-31" sqref="Q27:S31 Q9:S9 Q7:S7 Q3:S5 I3:K14 N3:N14 X3:X14 N27:N40 I27:K40 X27:X40">
      <formula1>1</formula1>
      <formula2>2958465</formula2>
    </dataValidation>
    <dataValidation type="textLength" operator="equal" allowBlank="1" showInputMessage="1" showErrorMessage="1" prompt=" - 포함하여 14자리로 입력" sqref="D3:D14">
      <formula1>14</formula1>
    </dataValidation>
  </dataValidations>
  <printOptions horizontalCentered="1"/>
  <pageMargins left="0.51181102362204722" right="0.35433070866141736" top="0.59055118110236227" bottom="0.39370078740157483" header="0.43307086614173229" footer="0.23622047244094491"/>
  <pageSetup paperSize="9" scale="27" orientation="landscape" r:id="rId1"/>
  <headerFooter alignWithMargins="0"/>
  <colBreaks count="1" manualBreakCount="1">
    <brk id="39" max="178"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Y345"/>
  <sheetViews>
    <sheetView showZeros="0" view="pageBreakPreview" zoomScale="95" zoomScaleNormal="100" zoomScaleSheetLayoutView="95" workbookViewId="0">
      <pane ySplit="3" topLeftCell="A144" activePane="bottomLeft" state="frozen"/>
      <selection activeCell="E51" sqref="E51"/>
      <selection pane="bottomLeft" activeCell="B45" sqref="B45:B48"/>
    </sheetView>
  </sheetViews>
  <sheetFormatPr defaultRowHeight="14.25"/>
  <cols>
    <col min="1" max="1" width="4.21875" style="230" customWidth="1"/>
    <col min="2" max="2" width="11.44140625" style="230" customWidth="1"/>
    <col min="3" max="3" width="8.77734375" style="230" customWidth="1"/>
    <col min="4" max="4" width="8.33203125" style="230" customWidth="1"/>
    <col min="5" max="6" width="8.44140625" style="230" customWidth="1"/>
    <col min="7" max="7" width="8.109375" style="230" customWidth="1"/>
    <col min="8" max="8" width="7" style="230" customWidth="1"/>
    <col min="9" max="9" width="6.5546875" style="230" customWidth="1"/>
    <col min="10" max="10" width="8.109375" style="230" customWidth="1"/>
    <col min="11" max="11" width="7.77734375" style="230" customWidth="1"/>
    <col min="12" max="12" width="7.44140625" style="230" customWidth="1"/>
    <col min="13" max="13" width="9.33203125" style="230" customWidth="1"/>
    <col min="14" max="16" width="8.33203125" style="230" customWidth="1"/>
    <col min="17" max="17" width="7.77734375" style="230" customWidth="1"/>
    <col min="18" max="20" width="7" style="230" customWidth="1"/>
    <col min="21" max="21" width="9.33203125" style="230" customWidth="1"/>
    <col min="22" max="22" width="9.77734375" style="230" customWidth="1"/>
    <col min="23" max="23" width="1.6640625" style="230" customWidth="1"/>
    <col min="24" max="16384" width="8.88671875" style="230"/>
  </cols>
  <sheetData>
    <row r="1" spans="1:25" ht="34.5" customHeight="1">
      <c r="A1" s="194" t="str">
        <f ca="1">REPLACE(CELL("filename",A1),1,FIND("]",CELL("filename",A1)),"")</f>
        <v>2021보험료누적</v>
      </c>
    </row>
    <row r="2" spans="1:25" s="197" customFormat="1" ht="28.5" customHeight="1">
      <c r="A2" s="702" t="s">
        <v>167</v>
      </c>
      <c r="B2" s="606" t="s">
        <v>141</v>
      </c>
      <c r="C2" s="703" t="s">
        <v>113</v>
      </c>
      <c r="D2" s="703"/>
      <c r="E2" s="703"/>
      <c r="F2" s="703"/>
      <c r="G2" s="703"/>
      <c r="H2" s="703"/>
      <c r="I2" s="703"/>
      <c r="J2" s="703"/>
      <c r="K2" s="703"/>
      <c r="L2" s="703"/>
      <c r="M2" s="703"/>
      <c r="N2" s="704" t="s">
        <v>112</v>
      </c>
      <c r="O2" s="704"/>
      <c r="P2" s="704"/>
      <c r="Q2" s="704"/>
      <c r="R2" s="704"/>
      <c r="S2" s="704"/>
      <c r="T2" s="704"/>
      <c r="U2" s="704"/>
      <c r="V2" s="702" t="s">
        <v>114</v>
      </c>
    </row>
    <row r="3" spans="1:25" s="197" customFormat="1" ht="39.75" customHeight="1">
      <c r="A3" s="702"/>
      <c r="B3" s="606"/>
      <c r="C3" s="198" t="s">
        <v>168</v>
      </c>
      <c r="D3" s="198" t="s">
        <v>146</v>
      </c>
      <c r="E3" s="198" t="s">
        <v>147</v>
      </c>
      <c r="F3" s="198" t="s">
        <v>148</v>
      </c>
      <c r="G3" s="198" t="s">
        <v>149</v>
      </c>
      <c r="H3" s="199" t="s">
        <v>150</v>
      </c>
      <c r="I3" s="199" t="s">
        <v>169</v>
      </c>
      <c r="J3" s="199" t="s">
        <v>170</v>
      </c>
      <c r="K3" s="198" t="s">
        <v>153</v>
      </c>
      <c r="L3" s="198" t="s">
        <v>171</v>
      </c>
      <c r="M3" s="200" t="s">
        <v>172</v>
      </c>
      <c r="N3" s="198" t="s">
        <v>156</v>
      </c>
      <c r="O3" s="198" t="s">
        <v>157</v>
      </c>
      <c r="P3" s="198" t="s">
        <v>158</v>
      </c>
      <c r="Q3" s="198" t="s">
        <v>173</v>
      </c>
      <c r="R3" s="199" t="s">
        <v>174</v>
      </c>
      <c r="S3" s="199" t="s">
        <v>175</v>
      </c>
      <c r="T3" s="199" t="s">
        <v>176</v>
      </c>
      <c r="U3" s="200" t="s">
        <v>172</v>
      </c>
      <c r="V3" s="702"/>
    </row>
    <row r="4" spans="1:25" s="197" customFormat="1" ht="15.95" customHeight="1">
      <c r="A4" s="231">
        <v>1</v>
      </c>
      <c r="B4" s="201"/>
      <c r="C4" s="232">
        <v>42920</v>
      </c>
      <c r="D4" s="232">
        <v>4940</v>
      </c>
      <c r="E4" s="232"/>
      <c r="F4" s="232">
        <v>10010</v>
      </c>
      <c r="G4" s="232">
        <v>10630</v>
      </c>
      <c r="H4" s="232"/>
      <c r="I4" s="232"/>
      <c r="J4" s="232"/>
      <c r="K4" s="232">
        <v>12880</v>
      </c>
      <c r="L4" s="232"/>
      <c r="M4" s="232">
        <f>SUM(C4:L4)</f>
        <v>81380</v>
      </c>
      <c r="N4" s="232">
        <v>42920</v>
      </c>
      <c r="O4" s="232">
        <v>4940</v>
      </c>
      <c r="P4" s="232"/>
      <c r="Q4" s="232">
        <v>10010</v>
      </c>
      <c r="R4" s="233"/>
      <c r="S4" s="233"/>
      <c r="T4" s="233"/>
      <c r="U4" s="232">
        <f>SUM(N4:T4)</f>
        <v>57870</v>
      </c>
      <c r="V4" s="234">
        <f>SUM(U4,M4)</f>
        <v>139250</v>
      </c>
    </row>
    <row r="5" spans="1:25" s="197" customFormat="1" ht="15.95" customHeight="1">
      <c r="A5" s="231">
        <v>1</v>
      </c>
      <c r="B5" s="201"/>
      <c r="C5" s="365">
        <v>34710</v>
      </c>
      <c r="D5" s="232">
        <v>3990</v>
      </c>
      <c r="E5" s="233">
        <v>44910</v>
      </c>
      <c r="F5" s="232">
        <v>8090</v>
      </c>
      <c r="G5" s="232">
        <v>8600</v>
      </c>
      <c r="H5" s="232"/>
      <c r="I5" s="232"/>
      <c r="J5" s="232"/>
      <c r="K5" s="232">
        <v>10420</v>
      </c>
      <c r="L5" s="232"/>
      <c r="M5" s="232">
        <f t="shared" ref="M5:M64" si="0">SUM(C5:L5)</f>
        <v>110720</v>
      </c>
      <c r="N5" s="365">
        <v>34710</v>
      </c>
      <c r="O5" s="232">
        <v>3990</v>
      </c>
      <c r="P5" s="233">
        <v>44910</v>
      </c>
      <c r="Q5" s="232">
        <v>8090</v>
      </c>
      <c r="R5" s="233"/>
      <c r="S5" s="233"/>
      <c r="T5" s="233"/>
      <c r="U5" s="232">
        <f t="shared" ref="U5:U64" si="1">SUM(N5:T5)</f>
        <v>91700</v>
      </c>
      <c r="V5" s="234">
        <f t="shared" ref="V5:V27" si="2">SUM(U5,M5)</f>
        <v>202420</v>
      </c>
    </row>
    <row r="6" spans="1:25" s="197" customFormat="1" ht="15.95" customHeight="1">
      <c r="A6" s="231">
        <v>1</v>
      </c>
      <c r="B6" s="201" t="s">
        <v>487</v>
      </c>
      <c r="C6" s="232">
        <v>51880</v>
      </c>
      <c r="D6" s="232">
        <v>5970</v>
      </c>
      <c r="E6" s="233">
        <v>67140</v>
      </c>
      <c r="F6" s="232">
        <v>12100</v>
      </c>
      <c r="G6" s="232">
        <v>12850</v>
      </c>
      <c r="H6" s="232"/>
      <c r="I6" s="232"/>
      <c r="J6" s="232"/>
      <c r="K6" s="232">
        <v>15580</v>
      </c>
      <c r="L6" s="232"/>
      <c r="M6" s="232">
        <f t="shared" si="0"/>
        <v>165520</v>
      </c>
      <c r="N6" s="232">
        <v>51880</v>
      </c>
      <c r="O6" s="232">
        <v>5970</v>
      </c>
      <c r="P6" s="233">
        <v>67140</v>
      </c>
      <c r="Q6" s="232">
        <v>12100</v>
      </c>
      <c r="R6" s="233"/>
      <c r="S6" s="233"/>
      <c r="T6" s="233"/>
      <c r="U6" s="232">
        <f t="shared" si="1"/>
        <v>137090</v>
      </c>
      <c r="V6" s="234">
        <f t="shared" si="2"/>
        <v>302610</v>
      </c>
    </row>
    <row r="7" spans="1:25" s="197" customFormat="1" ht="15.95" customHeight="1">
      <c r="A7" s="231">
        <v>1</v>
      </c>
      <c r="B7" s="201" t="s">
        <v>484</v>
      </c>
      <c r="C7" s="232">
        <v>76760</v>
      </c>
      <c r="D7" s="232">
        <v>8840</v>
      </c>
      <c r="E7" s="233">
        <v>99310</v>
      </c>
      <c r="F7" s="232">
        <v>17900</v>
      </c>
      <c r="G7" s="232">
        <v>19020</v>
      </c>
      <c r="H7" s="232"/>
      <c r="I7" s="232"/>
      <c r="J7" s="232"/>
      <c r="K7" s="232">
        <v>23050</v>
      </c>
      <c r="L7" s="232"/>
      <c r="M7" s="232">
        <f t="shared" si="0"/>
        <v>244880</v>
      </c>
      <c r="N7" s="232">
        <v>76760</v>
      </c>
      <c r="O7" s="232">
        <v>8840</v>
      </c>
      <c r="P7" s="233">
        <v>99310</v>
      </c>
      <c r="Q7" s="232">
        <v>17900</v>
      </c>
      <c r="R7" s="233"/>
      <c r="S7" s="233"/>
      <c r="T7" s="233"/>
      <c r="U7" s="232">
        <f t="shared" si="1"/>
        <v>202810</v>
      </c>
      <c r="V7" s="234">
        <f t="shared" si="2"/>
        <v>447690</v>
      </c>
      <c r="X7" s="197">
        <v>0</v>
      </c>
      <c r="Y7" s="197">
        <v>0</v>
      </c>
    </row>
    <row r="8" spans="1:25" s="197" customFormat="1" ht="15.95" customHeight="1">
      <c r="A8" s="231">
        <v>1</v>
      </c>
      <c r="B8" s="201" t="s">
        <v>488</v>
      </c>
      <c r="C8" s="232">
        <v>84690</v>
      </c>
      <c r="D8" s="232">
        <v>3890</v>
      </c>
      <c r="E8" s="233">
        <v>109570</v>
      </c>
      <c r="F8" s="232">
        <v>19750</v>
      </c>
      <c r="G8" s="232">
        <v>20980</v>
      </c>
      <c r="H8" s="232"/>
      <c r="I8" s="232"/>
      <c r="J8" s="232"/>
      <c r="K8" s="232">
        <v>24690</v>
      </c>
      <c r="L8" s="232"/>
      <c r="M8" s="232">
        <f t="shared" si="0"/>
        <v>263570</v>
      </c>
      <c r="N8" s="232">
        <v>84690</v>
      </c>
      <c r="O8" s="232">
        <v>9750</v>
      </c>
      <c r="P8" s="233">
        <v>109570</v>
      </c>
      <c r="Q8" s="232">
        <v>19750</v>
      </c>
      <c r="R8" s="233"/>
      <c r="S8" s="233"/>
      <c r="T8" s="233"/>
      <c r="U8" s="232">
        <f t="shared" si="1"/>
        <v>223760</v>
      </c>
      <c r="V8" s="234">
        <f t="shared" si="2"/>
        <v>487330</v>
      </c>
    </row>
    <row r="9" spans="1:25" s="197" customFormat="1" ht="15.95" customHeight="1">
      <c r="A9" s="231">
        <v>1</v>
      </c>
      <c r="B9" s="201" t="s">
        <v>489</v>
      </c>
      <c r="C9" s="232">
        <v>82910</v>
      </c>
      <c r="D9" s="232">
        <v>9550</v>
      </c>
      <c r="E9" s="233">
        <v>107280</v>
      </c>
      <c r="F9" s="232">
        <v>19330</v>
      </c>
      <c r="G9" s="232">
        <v>20540</v>
      </c>
      <c r="H9" s="232"/>
      <c r="I9" s="232"/>
      <c r="J9" s="232"/>
      <c r="K9" s="232">
        <v>24170</v>
      </c>
      <c r="L9" s="232"/>
      <c r="M9" s="232">
        <f t="shared" si="0"/>
        <v>263780</v>
      </c>
      <c r="N9" s="232">
        <v>82910</v>
      </c>
      <c r="O9" s="232">
        <v>9550</v>
      </c>
      <c r="P9" s="233">
        <v>107280</v>
      </c>
      <c r="Q9" s="232">
        <v>19330</v>
      </c>
      <c r="R9" s="233"/>
      <c r="S9" s="233"/>
      <c r="T9" s="233"/>
      <c r="U9" s="232">
        <f t="shared" si="1"/>
        <v>219070</v>
      </c>
      <c r="V9" s="234">
        <f t="shared" si="2"/>
        <v>482850</v>
      </c>
    </row>
    <row r="10" spans="1:25" s="197" customFormat="1" ht="15.95" customHeight="1">
      <c r="A10" s="231">
        <v>1</v>
      </c>
      <c r="B10" s="201"/>
      <c r="C10" s="232">
        <v>83840</v>
      </c>
      <c r="D10" s="232">
        <v>9650</v>
      </c>
      <c r="E10" s="233">
        <v>108450</v>
      </c>
      <c r="F10" s="232">
        <v>20800</v>
      </c>
      <c r="G10" s="232">
        <v>22100</v>
      </c>
      <c r="H10" s="232"/>
      <c r="I10" s="232"/>
      <c r="J10" s="232"/>
      <c r="K10" s="232">
        <v>26010</v>
      </c>
      <c r="L10" s="232"/>
      <c r="M10" s="232">
        <f t="shared" si="0"/>
        <v>270850</v>
      </c>
      <c r="N10" s="232">
        <v>83840</v>
      </c>
      <c r="O10" s="232">
        <v>9650</v>
      </c>
      <c r="P10" s="233">
        <v>108450</v>
      </c>
      <c r="Q10" s="232">
        <v>20800</v>
      </c>
      <c r="R10" s="233"/>
      <c r="S10" s="233"/>
      <c r="T10" s="233"/>
      <c r="U10" s="232">
        <f t="shared" si="1"/>
        <v>222740</v>
      </c>
      <c r="V10" s="234">
        <f t="shared" si="2"/>
        <v>493590</v>
      </c>
    </row>
    <row r="11" spans="1:25" s="197" customFormat="1" ht="15.95" customHeight="1">
      <c r="A11" s="231">
        <v>1</v>
      </c>
      <c r="B11" s="201"/>
      <c r="C11" s="232">
        <v>33490</v>
      </c>
      <c r="D11" s="232">
        <v>3850</v>
      </c>
      <c r="E11" s="233">
        <v>43920</v>
      </c>
      <c r="F11" s="232">
        <v>6880</v>
      </c>
      <c r="G11" s="232">
        <v>7310</v>
      </c>
      <c r="H11" s="232"/>
      <c r="I11" s="232"/>
      <c r="J11" s="232"/>
      <c r="K11" s="232">
        <v>8600</v>
      </c>
      <c r="L11" s="232"/>
      <c r="M11" s="232">
        <f t="shared" si="0"/>
        <v>104050</v>
      </c>
      <c r="N11" s="232">
        <v>33490</v>
      </c>
      <c r="O11" s="232">
        <v>3850</v>
      </c>
      <c r="P11" s="233">
        <v>43920</v>
      </c>
      <c r="Q11" s="232">
        <v>6880</v>
      </c>
      <c r="R11" s="233"/>
      <c r="S11" s="233"/>
      <c r="T11" s="233"/>
      <c r="U11" s="232">
        <f t="shared" si="1"/>
        <v>88140</v>
      </c>
      <c r="V11" s="234">
        <f t="shared" si="2"/>
        <v>192190</v>
      </c>
    </row>
    <row r="12" spans="1:25" s="197" customFormat="1" ht="18.75" customHeight="1">
      <c r="A12" s="231">
        <v>1</v>
      </c>
      <c r="B12" s="201"/>
      <c r="C12" s="232">
        <v>33490</v>
      </c>
      <c r="D12" s="232">
        <v>3850</v>
      </c>
      <c r="E12" s="233">
        <v>43920</v>
      </c>
      <c r="F12" s="232">
        <v>6980</v>
      </c>
      <c r="G12" s="232">
        <v>7420</v>
      </c>
      <c r="H12" s="232"/>
      <c r="I12" s="232"/>
      <c r="J12" s="232"/>
      <c r="K12" s="232">
        <v>8730</v>
      </c>
      <c r="L12" s="232"/>
      <c r="M12" s="232">
        <f t="shared" si="0"/>
        <v>104390</v>
      </c>
      <c r="N12" s="232">
        <v>33490</v>
      </c>
      <c r="O12" s="232">
        <v>3850</v>
      </c>
      <c r="P12" s="233">
        <v>43920</v>
      </c>
      <c r="Q12" s="232">
        <v>6980</v>
      </c>
      <c r="R12" s="233"/>
      <c r="S12" s="233"/>
      <c r="T12" s="233"/>
      <c r="U12" s="232">
        <f t="shared" si="1"/>
        <v>88240</v>
      </c>
      <c r="V12" s="234">
        <f t="shared" si="2"/>
        <v>192630</v>
      </c>
    </row>
    <row r="13" spans="1:25" s="197" customFormat="1" ht="18.75" customHeight="1">
      <c r="A13" s="231">
        <v>1</v>
      </c>
      <c r="B13" s="201"/>
      <c r="C13" s="232">
        <v>50580</v>
      </c>
      <c r="D13" s="232">
        <v>5820</v>
      </c>
      <c r="E13" s="233">
        <v>66330</v>
      </c>
      <c r="F13" s="232">
        <v>11790</v>
      </c>
      <c r="G13" s="232">
        <v>12530</v>
      </c>
      <c r="H13" s="232"/>
      <c r="I13" s="232"/>
      <c r="J13" s="232"/>
      <c r="K13" s="232">
        <v>14740</v>
      </c>
      <c r="L13" s="232"/>
      <c r="M13" s="232">
        <f t="shared" si="0"/>
        <v>161790</v>
      </c>
      <c r="N13" s="232">
        <v>50580</v>
      </c>
      <c r="O13" s="232">
        <v>5820</v>
      </c>
      <c r="P13" s="233">
        <v>66330</v>
      </c>
      <c r="Q13" s="232">
        <v>11790</v>
      </c>
      <c r="R13" s="233"/>
      <c r="S13" s="233"/>
      <c r="T13" s="233"/>
      <c r="U13" s="232">
        <f t="shared" si="1"/>
        <v>134520</v>
      </c>
      <c r="V13" s="234">
        <f t="shared" si="2"/>
        <v>296310</v>
      </c>
    </row>
    <row r="14" spans="1:25" s="197" customFormat="1" ht="18.75" customHeight="1">
      <c r="A14" s="231">
        <v>1</v>
      </c>
      <c r="B14" s="207"/>
      <c r="C14" s="232">
        <v>100610</v>
      </c>
      <c r="D14" s="232">
        <v>11590</v>
      </c>
      <c r="E14" s="233">
        <v>130180</v>
      </c>
      <c r="F14" s="232"/>
      <c r="G14" s="232"/>
      <c r="H14" s="232"/>
      <c r="I14" s="232"/>
      <c r="J14" s="232"/>
      <c r="K14" s="232">
        <v>29330</v>
      </c>
      <c r="L14" s="232"/>
      <c r="M14" s="232">
        <f t="shared" si="0"/>
        <v>271710</v>
      </c>
      <c r="N14" s="232">
        <v>100610</v>
      </c>
      <c r="O14" s="232">
        <v>11590</v>
      </c>
      <c r="P14" s="233">
        <v>130180</v>
      </c>
      <c r="Q14" s="232"/>
      <c r="R14" s="233"/>
      <c r="S14" s="233"/>
      <c r="T14" s="233"/>
      <c r="U14" s="232">
        <f t="shared" si="1"/>
        <v>242380</v>
      </c>
      <c r="V14" s="234">
        <f t="shared" si="2"/>
        <v>514090</v>
      </c>
    </row>
    <row r="15" spans="1:25" s="197" customFormat="1" ht="18.75" customHeight="1">
      <c r="A15" s="231">
        <v>1</v>
      </c>
      <c r="B15" s="201"/>
      <c r="C15" s="232"/>
      <c r="D15" s="232"/>
      <c r="E15" s="232"/>
      <c r="F15" s="232"/>
      <c r="G15" s="232">
        <v>4780</v>
      </c>
      <c r="H15" s="232"/>
      <c r="I15" s="232"/>
      <c r="J15" s="232"/>
      <c r="K15" s="232">
        <v>5620</v>
      </c>
      <c r="L15" s="232"/>
      <c r="M15" s="232">
        <f t="shared" si="0"/>
        <v>10400</v>
      </c>
      <c r="N15" s="233"/>
      <c r="O15" s="233"/>
      <c r="P15" s="233"/>
      <c r="Q15" s="233"/>
      <c r="R15" s="233"/>
      <c r="S15" s="233"/>
      <c r="T15" s="233"/>
      <c r="U15" s="232">
        <f t="shared" si="1"/>
        <v>0</v>
      </c>
      <c r="V15" s="234">
        <f t="shared" si="2"/>
        <v>10400</v>
      </c>
      <c r="W15" s="215"/>
    </row>
    <row r="16" spans="1:25" s="239" customFormat="1" ht="15.95" customHeight="1">
      <c r="A16" s="235">
        <v>2</v>
      </c>
      <c r="B16" s="236"/>
      <c r="C16" s="367">
        <v>42920</v>
      </c>
      <c r="D16" s="367">
        <v>4940</v>
      </c>
      <c r="E16" s="367"/>
      <c r="F16" s="367">
        <v>10010</v>
      </c>
      <c r="G16" s="367">
        <v>10630</v>
      </c>
      <c r="H16" s="367"/>
      <c r="I16" s="367"/>
      <c r="J16" s="367"/>
      <c r="K16" s="367">
        <v>12880</v>
      </c>
      <c r="L16" s="367"/>
      <c r="M16" s="367">
        <f>SUM(C16:L16)</f>
        <v>81380</v>
      </c>
      <c r="N16" s="367">
        <v>42920</v>
      </c>
      <c r="O16" s="367">
        <v>4940</v>
      </c>
      <c r="P16" s="367"/>
      <c r="Q16" s="367">
        <v>10010</v>
      </c>
      <c r="R16" s="367"/>
      <c r="S16" s="367"/>
      <c r="T16" s="367"/>
      <c r="U16" s="237">
        <f t="shared" si="1"/>
        <v>57870</v>
      </c>
      <c r="V16" s="238">
        <f t="shared" si="2"/>
        <v>139250</v>
      </c>
    </row>
    <row r="17" spans="1:25" s="239" customFormat="1" ht="15.95" customHeight="1">
      <c r="A17" s="235">
        <v>2</v>
      </c>
      <c r="B17" s="236"/>
      <c r="C17" s="368">
        <v>34710</v>
      </c>
      <c r="D17" s="367">
        <v>3990</v>
      </c>
      <c r="E17" s="367">
        <v>44910</v>
      </c>
      <c r="F17" s="367">
        <v>8090</v>
      </c>
      <c r="G17" s="367">
        <v>8600</v>
      </c>
      <c r="H17" s="367"/>
      <c r="I17" s="367"/>
      <c r="J17" s="367"/>
      <c r="K17" s="367">
        <v>10420</v>
      </c>
      <c r="L17" s="367"/>
      <c r="M17" s="367">
        <f t="shared" ref="M17:M27" si="3">SUM(C17:L17)</f>
        <v>110720</v>
      </c>
      <c r="N17" s="368">
        <v>34710</v>
      </c>
      <c r="O17" s="367">
        <v>3990</v>
      </c>
      <c r="P17" s="367">
        <v>44910</v>
      </c>
      <c r="Q17" s="367">
        <v>8090</v>
      </c>
      <c r="R17" s="367"/>
      <c r="S17" s="367"/>
      <c r="T17" s="367"/>
      <c r="U17" s="237">
        <f t="shared" si="1"/>
        <v>91700</v>
      </c>
      <c r="V17" s="238">
        <f t="shared" si="2"/>
        <v>202420</v>
      </c>
    </row>
    <row r="18" spans="1:25" s="239" customFormat="1" ht="15.95" customHeight="1">
      <c r="A18" s="235">
        <v>2</v>
      </c>
      <c r="B18" s="236"/>
      <c r="C18" s="367">
        <v>51880</v>
      </c>
      <c r="D18" s="367">
        <v>5970</v>
      </c>
      <c r="E18" s="367">
        <v>67140</v>
      </c>
      <c r="F18" s="367">
        <v>12100</v>
      </c>
      <c r="G18" s="367">
        <v>12850</v>
      </c>
      <c r="H18" s="367"/>
      <c r="I18" s="367"/>
      <c r="J18" s="367"/>
      <c r="K18" s="367">
        <v>15580</v>
      </c>
      <c r="L18" s="367"/>
      <c r="M18" s="367">
        <f t="shared" si="3"/>
        <v>165520</v>
      </c>
      <c r="N18" s="367">
        <v>51880</v>
      </c>
      <c r="O18" s="367">
        <v>5970</v>
      </c>
      <c r="P18" s="367">
        <v>67140</v>
      </c>
      <c r="Q18" s="367">
        <v>12100</v>
      </c>
      <c r="R18" s="367"/>
      <c r="S18" s="367"/>
      <c r="T18" s="367"/>
      <c r="U18" s="237">
        <f t="shared" si="1"/>
        <v>137090</v>
      </c>
      <c r="V18" s="238">
        <f t="shared" si="2"/>
        <v>302610</v>
      </c>
    </row>
    <row r="19" spans="1:25" s="239" customFormat="1" ht="15.95" customHeight="1">
      <c r="A19" s="235">
        <v>2</v>
      </c>
      <c r="B19" s="201" t="s">
        <v>487</v>
      </c>
      <c r="C19" s="367">
        <v>76760</v>
      </c>
      <c r="D19" s="367">
        <v>8840</v>
      </c>
      <c r="E19" s="367">
        <v>99310</v>
      </c>
      <c r="F19" s="367">
        <v>17900</v>
      </c>
      <c r="G19" s="367">
        <v>19020</v>
      </c>
      <c r="H19" s="367"/>
      <c r="I19" s="367"/>
      <c r="J19" s="367"/>
      <c r="K19" s="367">
        <v>23050</v>
      </c>
      <c r="L19" s="367"/>
      <c r="M19" s="367">
        <f t="shared" si="3"/>
        <v>244880</v>
      </c>
      <c r="N19" s="367">
        <v>76760</v>
      </c>
      <c r="O19" s="367">
        <v>8840</v>
      </c>
      <c r="P19" s="367">
        <v>99310</v>
      </c>
      <c r="Q19" s="367">
        <v>17900</v>
      </c>
      <c r="R19" s="367"/>
      <c r="S19" s="367"/>
      <c r="T19" s="367"/>
      <c r="U19" s="237">
        <f t="shared" si="1"/>
        <v>202810</v>
      </c>
      <c r="V19" s="238">
        <f t="shared" si="2"/>
        <v>447690</v>
      </c>
      <c r="X19" s="239">
        <v>0</v>
      </c>
      <c r="Y19" s="239">
        <v>0</v>
      </c>
    </row>
    <row r="20" spans="1:25" s="239" customFormat="1" ht="15.95" customHeight="1">
      <c r="A20" s="235">
        <v>2</v>
      </c>
      <c r="B20" s="201" t="s">
        <v>484</v>
      </c>
      <c r="C20" s="367">
        <v>84690</v>
      </c>
      <c r="D20" s="367">
        <v>3890</v>
      </c>
      <c r="E20" s="367">
        <v>109570</v>
      </c>
      <c r="F20" s="367">
        <v>19750</v>
      </c>
      <c r="G20" s="367">
        <v>20980</v>
      </c>
      <c r="H20" s="367"/>
      <c r="I20" s="367"/>
      <c r="J20" s="367"/>
      <c r="K20" s="367">
        <v>24690</v>
      </c>
      <c r="L20" s="367"/>
      <c r="M20" s="367">
        <f t="shared" si="3"/>
        <v>263570</v>
      </c>
      <c r="N20" s="367">
        <v>84690</v>
      </c>
      <c r="O20" s="367">
        <v>9750</v>
      </c>
      <c r="P20" s="367">
        <v>109570</v>
      </c>
      <c r="Q20" s="367">
        <v>19750</v>
      </c>
      <c r="R20" s="367"/>
      <c r="S20" s="367"/>
      <c r="T20" s="367"/>
      <c r="U20" s="237">
        <f t="shared" si="1"/>
        <v>223760</v>
      </c>
      <c r="V20" s="238">
        <f t="shared" si="2"/>
        <v>487330</v>
      </c>
    </row>
    <row r="21" spans="1:25" s="239" customFormat="1" ht="15.95" customHeight="1">
      <c r="A21" s="235">
        <v>2</v>
      </c>
      <c r="B21" s="201" t="s">
        <v>488</v>
      </c>
      <c r="C21" s="367">
        <v>82910</v>
      </c>
      <c r="D21" s="367">
        <v>9550</v>
      </c>
      <c r="E21" s="367">
        <v>107280</v>
      </c>
      <c r="F21" s="367">
        <v>19330</v>
      </c>
      <c r="G21" s="367">
        <v>20540</v>
      </c>
      <c r="H21" s="367"/>
      <c r="I21" s="367"/>
      <c r="J21" s="367"/>
      <c r="K21" s="367">
        <v>24170</v>
      </c>
      <c r="L21" s="367"/>
      <c r="M21" s="367">
        <f t="shared" si="3"/>
        <v>263780</v>
      </c>
      <c r="N21" s="367">
        <v>82910</v>
      </c>
      <c r="O21" s="367">
        <v>9550</v>
      </c>
      <c r="P21" s="367">
        <v>107280</v>
      </c>
      <c r="Q21" s="367">
        <v>19330</v>
      </c>
      <c r="R21" s="367"/>
      <c r="S21" s="367"/>
      <c r="T21" s="367"/>
      <c r="U21" s="237">
        <f t="shared" si="1"/>
        <v>219070</v>
      </c>
      <c r="V21" s="238">
        <f t="shared" si="2"/>
        <v>482850</v>
      </c>
    </row>
    <row r="22" spans="1:25" s="239" customFormat="1" ht="15.95" customHeight="1">
      <c r="A22" s="235">
        <v>2</v>
      </c>
      <c r="B22" s="201" t="s">
        <v>489</v>
      </c>
      <c r="C22" s="367">
        <v>83840</v>
      </c>
      <c r="D22" s="367">
        <v>9650</v>
      </c>
      <c r="E22" s="367">
        <v>108450</v>
      </c>
      <c r="F22" s="367">
        <v>20800</v>
      </c>
      <c r="G22" s="367">
        <v>22100</v>
      </c>
      <c r="H22" s="367"/>
      <c r="I22" s="367"/>
      <c r="J22" s="367"/>
      <c r="K22" s="367">
        <v>26010</v>
      </c>
      <c r="L22" s="367"/>
      <c r="M22" s="367">
        <f t="shared" si="3"/>
        <v>270850</v>
      </c>
      <c r="N22" s="367">
        <v>83840</v>
      </c>
      <c r="O22" s="367">
        <v>9650</v>
      </c>
      <c r="P22" s="367">
        <v>108450</v>
      </c>
      <c r="Q22" s="367">
        <v>20800</v>
      </c>
      <c r="R22" s="367"/>
      <c r="S22" s="367"/>
      <c r="T22" s="367"/>
      <c r="U22" s="237">
        <f t="shared" si="1"/>
        <v>222740</v>
      </c>
      <c r="V22" s="238">
        <f t="shared" si="2"/>
        <v>493590</v>
      </c>
    </row>
    <row r="23" spans="1:25" s="239" customFormat="1" ht="15.95" customHeight="1">
      <c r="A23" s="235">
        <v>2</v>
      </c>
      <c r="B23" s="236"/>
      <c r="C23" s="367">
        <v>33490</v>
      </c>
      <c r="D23" s="367">
        <v>3850</v>
      </c>
      <c r="E23" s="367">
        <v>43920</v>
      </c>
      <c r="F23" s="367">
        <v>6880</v>
      </c>
      <c r="G23" s="367">
        <v>7310</v>
      </c>
      <c r="H23" s="367"/>
      <c r="I23" s="367"/>
      <c r="J23" s="367"/>
      <c r="K23" s="367">
        <v>8600</v>
      </c>
      <c r="L23" s="367"/>
      <c r="M23" s="367">
        <f t="shared" si="3"/>
        <v>104050</v>
      </c>
      <c r="N23" s="367">
        <v>33490</v>
      </c>
      <c r="O23" s="367">
        <v>3850</v>
      </c>
      <c r="P23" s="367">
        <v>43920</v>
      </c>
      <c r="Q23" s="367">
        <v>6880</v>
      </c>
      <c r="R23" s="367"/>
      <c r="S23" s="367"/>
      <c r="T23" s="367"/>
      <c r="U23" s="237">
        <f t="shared" si="1"/>
        <v>88140</v>
      </c>
      <c r="V23" s="238">
        <f t="shared" si="2"/>
        <v>192190</v>
      </c>
    </row>
    <row r="24" spans="1:25" s="239" customFormat="1" ht="15.95" customHeight="1">
      <c r="A24" s="235">
        <v>2</v>
      </c>
      <c r="B24" s="236"/>
      <c r="C24" s="367">
        <v>33490</v>
      </c>
      <c r="D24" s="367">
        <v>3850</v>
      </c>
      <c r="E24" s="367">
        <v>43920</v>
      </c>
      <c r="F24" s="367">
        <v>6980</v>
      </c>
      <c r="G24" s="367">
        <v>7420</v>
      </c>
      <c r="H24" s="367"/>
      <c r="I24" s="367"/>
      <c r="J24" s="367"/>
      <c r="K24" s="367">
        <v>8730</v>
      </c>
      <c r="L24" s="367"/>
      <c r="M24" s="367">
        <f t="shared" si="3"/>
        <v>104390</v>
      </c>
      <c r="N24" s="367">
        <v>33490</v>
      </c>
      <c r="O24" s="367">
        <v>3850</v>
      </c>
      <c r="P24" s="367">
        <v>43920</v>
      </c>
      <c r="Q24" s="367">
        <v>6980</v>
      </c>
      <c r="R24" s="367"/>
      <c r="S24" s="367"/>
      <c r="T24" s="367"/>
      <c r="U24" s="237">
        <f t="shared" si="1"/>
        <v>88240</v>
      </c>
      <c r="V24" s="238">
        <f t="shared" si="2"/>
        <v>192630</v>
      </c>
    </row>
    <row r="25" spans="1:25" s="239" customFormat="1" ht="15.95" customHeight="1">
      <c r="A25" s="235">
        <v>2</v>
      </c>
      <c r="B25" s="236"/>
      <c r="C25" s="367">
        <v>50580</v>
      </c>
      <c r="D25" s="367">
        <v>5820</v>
      </c>
      <c r="E25" s="367">
        <v>66330</v>
      </c>
      <c r="F25" s="367">
        <v>11790</v>
      </c>
      <c r="G25" s="367">
        <v>12530</v>
      </c>
      <c r="H25" s="367"/>
      <c r="I25" s="367"/>
      <c r="J25" s="367"/>
      <c r="K25" s="367">
        <v>14740</v>
      </c>
      <c r="L25" s="367"/>
      <c r="M25" s="367">
        <f t="shared" si="3"/>
        <v>161790</v>
      </c>
      <c r="N25" s="367">
        <v>50580</v>
      </c>
      <c r="O25" s="367">
        <v>5820</v>
      </c>
      <c r="P25" s="367">
        <v>66330</v>
      </c>
      <c r="Q25" s="367">
        <v>11790</v>
      </c>
      <c r="R25" s="367"/>
      <c r="S25" s="367"/>
      <c r="T25" s="367"/>
      <c r="U25" s="237">
        <f t="shared" si="1"/>
        <v>134520</v>
      </c>
      <c r="V25" s="238">
        <f t="shared" si="2"/>
        <v>296310</v>
      </c>
    </row>
    <row r="26" spans="1:25" s="239" customFormat="1" ht="15.95" customHeight="1">
      <c r="A26" s="235">
        <v>2</v>
      </c>
      <c r="B26" s="240"/>
      <c r="C26" s="367">
        <v>100610</v>
      </c>
      <c r="D26" s="367">
        <v>11590</v>
      </c>
      <c r="E26" s="367">
        <v>130180</v>
      </c>
      <c r="F26" s="367"/>
      <c r="G26" s="367"/>
      <c r="H26" s="367"/>
      <c r="I26" s="367"/>
      <c r="J26" s="367"/>
      <c r="K26" s="367">
        <v>29330</v>
      </c>
      <c r="L26" s="367"/>
      <c r="M26" s="367">
        <f t="shared" si="3"/>
        <v>271710</v>
      </c>
      <c r="N26" s="367">
        <v>100610</v>
      </c>
      <c r="O26" s="367">
        <v>11590</v>
      </c>
      <c r="P26" s="367">
        <v>130180</v>
      </c>
      <c r="Q26" s="367"/>
      <c r="R26" s="367"/>
      <c r="S26" s="367"/>
      <c r="T26" s="367"/>
      <c r="U26" s="237">
        <f t="shared" si="1"/>
        <v>242380</v>
      </c>
      <c r="V26" s="238">
        <f t="shared" si="2"/>
        <v>514090</v>
      </c>
    </row>
    <row r="27" spans="1:25" s="239" customFormat="1" ht="15.95" customHeight="1">
      <c r="A27" s="235">
        <v>2</v>
      </c>
      <c r="B27" s="236"/>
      <c r="C27" s="367"/>
      <c r="D27" s="367"/>
      <c r="E27" s="367"/>
      <c r="F27" s="367"/>
      <c r="G27" s="367">
        <v>4780</v>
      </c>
      <c r="H27" s="367"/>
      <c r="I27" s="367"/>
      <c r="J27" s="367"/>
      <c r="K27" s="367">
        <v>5620</v>
      </c>
      <c r="L27" s="367"/>
      <c r="M27" s="367">
        <f t="shared" si="3"/>
        <v>10400</v>
      </c>
      <c r="N27" s="367"/>
      <c r="O27" s="367"/>
      <c r="P27" s="367"/>
      <c r="Q27" s="367"/>
      <c r="R27" s="367"/>
      <c r="S27" s="367"/>
      <c r="T27" s="367"/>
      <c r="U27" s="237">
        <f t="shared" si="1"/>
        <v>0</v>
      </c>
      <c r="V27" s="238">
        <f t="shared" si="2"/>
        <v>10400</v>
      </c>
      <c r="W27" s="215"/>
    </row>
    <row r="28" spans="1:25" s="239" customFormat="1" ht="15.95" customHeight="1">
      <c r="A28" s="241">
        <v>3</v>
      </c>
      <c r="B28" s="201"/>
      <c r="C28" s="233">
        <v>42920</v>
      </c>
      <c r="D28" s="233">
        <v>4940</v>
      </c>
      <c r="E28" s="233"/>
      <c r="F28" s="233">
        <v>10010</v>
      </c>
      <c r="G28" s="233">
        <v>10630</v>
      </c>
      <c r="H28" s="233"/>
      <c r="I28" s="233"/>
      <c r="J28" s="233"/>
      <c r="K28" s="233">
        <v>12510</v>
      </c>
      <c r="L28" s="233"/>
      <c r="M28" s="233">
        <f t="shared" si="0"/>
        <v>81010</v>
      </c>
      <c r="N28" s="233">
        <v>42920</v>
      </c>
      <c r="O28" s="233">
        <v>4940</v>
      </c>
      <c r="P28" s="233"/>
      <c r="Q28" s="233">
        <v>10010</v>
      </c>
      <c r="R28" s="233"/>
      <c r="S28" s="233"/>
      <c r="T28" s="233"/>
      <c r="U28" s="233">
        <f t="shared" si="1"/>
        <v>57870</v>
      </c>
      <c r="V28" s="242">
        <f t="shared" ref="V28:V79" si="4">SUM(U28,M28)</f>
        <v>138880</v>
      </c>
    </row>
    <row r="29" spans="1:25" s="239" customFormat="1" ht="15.95" customHeight="1">
      <c r="A29" s="241">
        <v>3</v>
      </c>
      <c r="B29" s="201"/>
      <c r="C29" s="233">
        <v>34710</v>
      </c>
      <c r="D29" s="233">
        <v>3990</v>
      </c>
      <c r="E29" s="233">
        <v>44710</v>
      </c>
      <c r="F29" s="233">
        <v>8090</v>
      </c>
      <c r="G29" s="233">
        <v>8600</v>
      </c>
      <c r="H29" s="233"/>
      <c r="I29" s="233"/>
      <c r="J29" s="233"/>
      <c r="K29" s="233">
        <v>10120</v>
      </c>
      <c r="L29" s="233"/>
      <c r="M29" s="233">
        <f t="shared" si="0"/>
        <v>110220</v>
      </c>
      <c r="N29" s="233">
        <v>34710</v>
      </c>
      <c r="O29" s="233">
        <v>3990</v>
      </c>
      <c r="P29" s="233">
        <v>44910</v>
      </c>
      <c r="Q29" s="233">
        <v>8090</v>
      </c>
      <c r="R29" s="233"/>
      <c r="S29" s="233"/>
      <c r="T29" s="233"/>
      <c r="U29" s="233">
        <f t="shared" si="1"/>
        <v>91700</v>
      </c>
      <c r="V29" s="242">
        <f t="shared" si="4"/>
        <v>201920</v>
      </c>
    </row>
    <row r="30" spans="1:25" s="239" customFormat="1" ht="15.95" customHeight="1">
      <c r="A30" s="241">
        <v>3</v>
      </c>
      <c r="B30" s="201"/>
      <c r="C30" s="233">
        <v>51880</v>
      </c>
      <c r="D30" s="233">
        <v>5970</v>
      </c>
      <c r="E30" s="233">
        <v>67140</v>
      </c>
      <c r="F30" s="233">
        <v>12100</v>
      </c>
      <c r="G30" s="233">
        <v>12850</v>
      </c>
      <c r="H30" s="233"/>
      <c r="I30" s="233"/>
      <c r="J30" s="233"/>
      <c r="K30" s="233">
        <v>15120</v>
      </c>
      <c r="L30" s="233"/>
      <c r="M30" s="233">
        <f t="shared" si="0"/>
        <v>165060</v>
      </c>
      <c r="N30" s="233">
        <v>51880</v>
      </c>
      <c r="O30" s="233">
        <v>5970</v>
      </c>
      <c r="P30" s="233">
        <v>67140</v>
      </c>
      <c r="Q30" s="233">
        <v>12100</v>
      </c>
      <c r="R30" s="233"/>
      <c r="S30" s="233"/>
      <c r="T30" s="233"/>
      <c r="U30" s="233">
        <f t="shared" si="1"/>
        <v>137090</v>
      </c>
      <c r="V30" s="242">
        <f t="shared" si="4"/>
        <v>302150</v>
      </c>
      <c r="X30" s="239">
        <v>0</v>
      </c>
      <c r="Y30" s="239">
        <v>0</v>
      </c>
    </row>
    <row r="31" spans="1:25" s="239" customFormat="1" ht="15.95" customHeight="1">
      <c r="A31" s="241">
        <v>3</v>
      </c>
      <c r="B31" s="201"/>
      <c r="C31" s="233">
        <v>83940</v>
      </c>
      <c r="D31" s="233">
        <v>10660</v>
      </c>
      <c r="E31" s="233">
        <v>105660</v>
      </c>
      <c r="F31" s="233">
        <v>19050</v>
      </c>
      <c r="G31" s="233">
        <v>20240</v>
      </c>
      <c r="H31" s="233"/>
      <c r="I31" s="233"/>
      <c r="J31" s="233"/>
      <c r="K31" s="233">
        <v>23810</v>
      </c>
      <c r="L31" s="233"/>
      <c r="M31" s="233">
        <f t="shared" si="0"/>
        <v>263360</v>
      </c>
      <c r="N31" s="233">
        <v>79420</v>
      </c>
      <c r="O31" s="233">
        <v>8140</v>
      </c>
      <c r="P31" s="233">
        <v>105660</v>
      </c>
      <c r="Q31" s="233">
        <v>19050</v>
      </c>
      <c r="R31" s="233"/>
      <c r="S31" s="233"/>
      <c r="T31" s="233"/>
      <c r="U31" s="233">
        <f t="shared" si="1"/>
        <v>212270</v>
      </c>
      <c r="V31" s="242">
        <f t="shared" si="4"/>
        <v>475630</v>
      </c>
    </row>
    <row r="32" spans="1:25" s="239" customFormat="1" ht="15.95" customHeight="1">
      <c r="A32" s="241">
        <v>3</v>
      </c>
      <c r="B32" s="201"/>
      <c r="C32" s="233">
        <v>84690</v>
      </c>
      <c r="D32" s="233">
        <v>6820</v>
      </c>
      <c r="E32" s="233">
        <v>109570</v>
      </c>
      <c r="F32" s="233">
        <v>19750</v>
      </c>
      <c r="G32" s="233">
        <v>20980</v>
      </c>
      <c r="H32" s="233"/>
      <c r="I32" s="233"/>
      <c r="J32" s="233"/>
      <c r="K32" s="233">
        <v>24690</v>
      </c>
      <c r="L32" s="233"/>
      <c r="M32" s="233">
        <f t="shared" si="0"/>
        <v>266500</v>
      </c>
      <c r="N32" s="233">
        <v>84690</v>
      </c>
      <c r="O32" s="233">
        <v>6820</v>
      </c>
      <c r="P32" s="233">
        <v>109570</v>
      </c>
      <c r="Q32" s="233">
        <v>19750</v>
      </c>
      <c r="R32" s="233"/>
      <c r="S32" s="233"/>
      <c r="T32" s="233"/>
      <c r="U32" s="233">
        <f t="shared" si="1"/>
        <v>220830</v>
      </c>
      <c r="V32" s="242">
        <f t="shared" si="4"/>
        <v>487330</v>
      </c>
    </row>
    <row r="33" spans="1:25" s="239" customFormat="1" ht="15.95" customHeight="1">
      <c r="A33" s="241">
        <v>3</v>
      </c>
      <c r="B33" s="201" t="s">
        <v>487</v>
      </c>
      <c r="C33" s="233"/>
      <c r="D33" s="233"/>
      <c r="E33" s="233">
        <v>-214560</v>
      </c>
      <c r="F33" s="233">
        <v>-19340</v>
      </c>
      <c r="G33" s="233">
        <v>-10270</v>
      </c>
      <c r="H33" s="233"/>
      <c r="I33" s="233"/>
      <c r="J33" s="233"/>
      <c r="K33" s="233">
        <v>-12090</v>
      </c>
      <c r="L33" s="233"/>
      <c r="M33" s="233">
        <f t="shared" si="0"/>
        <v>-256260</v>
      </c>
      <c r="N33" s="233"/>
      <c r="O33" s="233"/>
      <c r="P33" s="233"/>
      <c r="Q33" s="233"/>
      <c r="R33" s="233"/>
      <c r="S33" s="233"/>
      <c r="T33" s="233"/>
      <c r="U33" s="233">
        <f t="shared" si="1"/>
        <v>0</v>
      </c>
      <c r="V33" s="242">
        <f t="shared" si="4"/>
        <v>-256260</v>
      </c>
    </row>
    <row r="34" spans="1:25" s="239" customFormat="1" ht="15.95" customHeight="1">
      <c r="A34" s="241">
        <v>3</v>
      </c>
      <c r="B34" s="201" t="s">
        <v>484</v>
      </c>
      <c r="C34" s="233">
        <v>83840</v>
      </c>
      <c r="D34" s="233">
        <v>9650</v>
      </c>
      <c r="E34" s="233">
        <v>108450</v>
      </c>
      <c r="F34" s="233">
        <v>20800</v>
      </c>
      <c r="G34" s="233">
        <v>22100</v>
      </c>
      <c r="H34" s="233"/>
      <c r="I34" s="233"/>
      <c r="J34" s="233"/>
      <c r="K34" s="233">
        <v>26010</v>
      </c>
      <c r="L34" s="233"/>
      <c r="M34" s="233">
        <f t="shared" si="0"/>
        <v>270850</v>
      </c>
      <c r="N34" s="233">
        <v>83840</v>
      </c>
      <c r="O34" s="233">
        <v>9650</v>
      </c>
      <c r="P34" s="233">
        <v>108450</v>
      </c>
      <c r="Q34" s="233">
        <v>20800</v>
      </c>
      <c r="R34" s="233"/>
      <c r="S34" s="233"/>
      <c r="T34" s="233"/>
      <c r="U34" s="233">
        <f t="shared" si="1"/>
        <v>222740</v>
      </c>
      <c r="V34" s="242">
        <f t="shared" si="4"/>
        <v>493590</v>
      </c>
    </row>
    <row r="35" spans="1:25" s="239" customFormat="1" ht="15.95" customHeight="1">
      <c r="A35" s="241">
        <v>3</v>
      </c>
      <c r="B35" s="201" t="s">
        <v>488</v>
      </c>
      <c r="C35" s="233">
        <v>33490</v>
      </c>
      <c r="D35" s="233">
        <v>3850</v>
      </c>
      <c r="E35" s="233">
        <v>43920</v>
      </c>
      <c r="F35" s="233">
        <v>6880</v>
      </c>
      <c r="G35" s="233">
        <v>7310</v>
      </c>
      <c r="H35" s="233"/>
      <c r="I35" s="233"/>
      <c r="J35" s="233"/>
      <c r="K35" s="233">
        <v>8600</v>
      </c>
      <c r="L35" s="233"/>
      <c r="M35" s="233">
        <f t="shared" si="0"/>
        <v>104050</v>
      </c>
      <c r="N35" s="233">
        <v>33490</v>
      </c>
      <c r="O35" s="233">
        <v>3850</v>
      </c>
      <c r="P35" s="233">
        <v>43920</v>
      </c>
      <c r="Q35" s="233">
        <v>6880</v>
      </c>
      <c r="R35" s="233"/>
      <c r="S35" s="233"/>
      <c r="T35" s="233"/>
      <c r="U35" s="233">
        <f t="shared" si="1"/>
        <v>88140</v>
      </c>
      <c r="V35" s="242">
        <f t="shared" si="4"/>
        <v>192190</v>
      </c>
    </row>
    <row r="36" spans="1:25" s="239" customFormat="1" ht="15.95" customHeight="1">
      <c r="A36" s="241">
        <v>3</v>
      </c>
      <c r="B36" s="201" t="s">
        <v>489</v>
      </c>
      <c r="C36" s="233">
        <v>33490</v>
      </c>
      <c r="D36" s="233">
        <v>3850</v>
      </c>
      <c r="E36" s="233">
        <v>43920</v>
      </c>
      <c r="F36" s="233">
        <v>6980</v>
      </c>
      <c r="G36" s="233">
        <v>7420</v>
      </c>
      <c r="H36" s="233"/>
      <c r="I36" s="233"/>
      <c r="J36" s="233"/>
      <c r="K36" s="233">
        <v>8730</v>
      </c>
      <c r="L36" s="233"/>
      <c r="M36" s="233">
        <f t="shared" si="0"/>
        <v>104390</v>
      </c>
      <c r="N36" s="233">
        <v>33490</v>
      </c>
      <c r="O36" s="233">
        <v>3850</v>
      </c>
      <c r="P36" s="233">
        <v>43920</v>
      </c>
      <c r="Q36" s="233">
        <v>6980</v>
      </c>
      <c r="R36" s="233"/>
      <c r="S36" s="233"/>
      <c r="T36" s="233"/>
      <c r="U36" s="233">
        <f t="shared" si="1"/>
        <v>88240</v>
      </c>
      <c r="V36" s="242">
        <f t="shared" si="4"/>
        <v>192630</v>
      </c>
    </row>
    <row r="37" spans="1:25" s="239" customFormat="1" ht="15.95" customHeight="1">
      <c r="A37" s="241">
        <v>3</v>
      </c>
      <c r="B37" s="201"/>
      <c r="C37" s="233">
        <v>50580</v>
      </c>
      <c r="D37" s="233">
        <v>5820</v>
      </c>
      <c r="E37" s="233">
        <v>66330</v>
      </c>
      <c r="F37" s="233">
        <v>11790</v>
      </c>
      <c r="G37" s="233">
        <v>12530</v>
      </c>
      <c r="H37" s="233"/>
      <c r="I37" s="233"/>
      <c r="J37" s="233"/>
      <c r="K37" s="233">
        <v>14740</v>
      </c>
      <c r="L37" s="233"/>
      <c r="M37" s="233">
        <f t="shared" si="0"/>
        <v>161790</v>
      </c>
      <c r="N37" s="233">
        <v>50580</v>
      </c>
      <c r="O37" s="233">
        <v>5820</v>
      </c>
      <c r="P37" s="233">
        <v>66330</v>
      </c>
      <c r="Q37" s="233">
        <v>11790</v>
      </c>
      <c r="R37" s="233"/>
      <c r="S37" s="233"/>
      <c r="T37" s="233"/>
      <c r="U37" s="233">
        <f t="shared" si="1"/>
        <v>134520</v>
      </c>
      <c r="V37" s="242">
        <f t="shared" si="4"/>
        <v>296310</v>
      </c>
    </row>
    <row r="38" spans="1:25" s="239" customFormat="1" ht="15.95" customHeight="1">
      <c r="A38" s="241">
        <v>3</v>
      </c>
      <c r="B38" s="207"/>
      <c r="C38" s="233">
        <v>122330</v>
      </c>
      <c r="D38" s="233">
        <v>14100</v>
      </c>
      <c r="E38" s="233">
        <v>156860</v>
      </c>
      <c r="F38" s="233"/>
      <c r="G38" s="233"/>
      <c r="H38" s="233"/>
      <c r="I38" s="233"/>
      <c r="J38" s="233"/>
      <c r="K38" s="233">
        <v>29330</v>
      </c>
      <c r="L38" s="233"/>
      <c r="M38" s="233">
        <f t="shared" si="0"/>
        <v>322620</v>
      </c>
      <c r="N38" s="233">
        <v>78890</v>
      </c>
      <c r="O38" s="233">
        <v>9080</v>
      </c>
      <c r="P38" s="233">
        <v>103500</v>
      </c>
      <c r="Q38" s="233"/>
      <c r="R38" s="233"/>
      <c r="S38" s="233"/>
      <c r="T38" s="233"/>
      <c r="U38" s="233">
        <f t="shared" si="1"/>
        <v>191470</v>
      </c>
      <c r="V38" s="242">
        <f t="shared" si="4"/>
        <v>514090</v>
      </c>
    </row>
    <row r="39" spans="1:25" s="239" customFormat="1" ht="15.95" customHeight="1">
      <c r="A39" s="241">
        <v>3</v>
      </c>
      <c r="B39" s="201"/>
      <c r="C39" s="233"/>
      <c r="D39" s="233"/>
      <c r="E39" s="233"/>
      <c r="F39" s="233"/>
      <c r="G39" s="233">
        <v>4780</v>
      </c>
      <c r="H39" s="233"/>
      <c r="I39" s="233"/>
      <c r="J39" s="233"/>
      <c r="K39" s="233">
        <v>5620</v>
      </c>
      <c r="L39" s="233"/>
      <c r="M39" s="233">
        <f t="shared" si="0"/>
        <v>10400</v>
      </c>
      <c r="N39" s="233"/>
      <c r="O39" s="233"/>
      <c r="P39" s="233"/>
      <c r="Q39" s="233"/>
      <c r="R39" s="233"/>
      <c r="S39" s="233"/>
      <c r="T39" s="233"/>
      <c r="U39" s="233">
        <f t="shared" si="1"/>
        <v>0</v>
      </c>
      <c r="V39" s="242">
        <f t="shared" si="4"/>
        <v>10400</v>
      </c>
    </row>
    <row r="40" spans="1:25" s="239" customFormat="1" ht="15.95" customHeight="1">
      <c r="A40" s="241">
        <v>3</v>
      </c>
      <c r="B40" s="201"/>
      <c r="C40" s="233">
        <v>-69620</v>
      </c>
      <c r="D40" s="233">
        <v>-8020</v>
      </c>
      <c r="E40" s="233">
        <v>-91350</v>
      </c>
      <c r="F40" s="233">
        <v>15180</v>
      </c>
      <c r="G40" s="233">
        <v>16690</v>
      </c>
      <c r="H40" s="233"/>
      <c r="I40" s="233"/>
      <c r="J40" s="233"/>
      <c r="K40" s="233">
        <v>19640</v>
      </c>
      <c r="L40" s="233"/>
      <c r="M40" s="233">
        <f t="shared" si="0"/>
        <v>-117480</v>
      </c>
      <c r="N40" s="233">
        <v>69620</v>
      </c>
      <c r="O40" s="233">
        <v>8020</v>
      </c>
      <c r="P40" s="233">
        <v>91350</v>
      </c>
      <c r="Q40" s="233">
        <v>16240</v>
      </c>
      <c r="R40" s="233"/>
      <c r="S40" s="233"/>
      <c r="T40" s="233"/>
      <c r="U40" s="233">
        <f t="shared" si="1"/>
        <v>185230</v>
      </c>
      <c r="V40" s="242">
        <f t="shared" si="4"/>
        <v>67750</v>
      </c>
    </row>
    <row r="41" spans="1:25" s="239" customFormat="1" ht="15.95" customHeight="1">
      <c r="A41" s="235">
        <v>4</v>
      </c>
      <c r="B41" s="236"/>
      <c r="C41" s="237">
        <v>51860</v>
      </c>
      <c r="D41" s="237">
        <v>5960</v>
      </c>
      <c r="E41" s="237"/>
      <c r="F41" s="237">
        <v>12090</v>
      </c>
      <c r="G41" s="237">
        <v>11740</v>
      </c>
      <c r="H41" s="237">
        <v>5040</v>
      </c>
      <c r="I41" s="237">
        <v>550</v>
      </c>
      <c r="J41" s="237">
        <v>28270</v>
      </c>
      <c r="K41" s="237">
        <v>13810</v>
      </c>
      <c r="L41" s="237">
        <v>17680</v>
      </c>
      <c r="M41" s="237">
        <f t="shared" si="0"/>
        <v>147000</v>
      </c>
      <c r="N41" s="237">
        <v>42920</v>
      </c>
      <c r="O41" s="237">
        <v>4940</v>
      </c>
      <c r="P41" s="237"/>
      <c r="Q41" s="237">
        <v>10010</v>
      </c>
      <c r="R41" s="237">
        <v>5040</v>
      </c>
      <c r="S41" s="237">
        <v>550</v>
      </c>
      <c r="T41" s="237">
        <v>13680</v>
      </c>
      <c r="U41" s="237">
        <f t="shared" si="1"/>
        <v>77140</v>
      </c>
      <c r="V41" s="238">
        <f t="shared" si="4"/>
        <v>224140</v>
      </c>
    </row>
    <row r="42" spans="1:25" s="239" customFormat="1" ht="15.95" customHeight="1">
      <c r="A42" s="235">
        <v>4</v>
      </c>
      <c r="B42" s="236"/>
      <c r="C42" s="237">
        <v>42110</v>
      </c>
      <c r="D42" s="237">
        <v>4850</v>
      </c>
      <c r="E42" s="237">
        <v>44710</v>
      </c>
      <c r="F42" s="237">
        <v>9810</v>
      </c>
      <c r="G42" s="237">
        <v>9510</v>
      </c>
      <c r="H42" s="237">
        <v>4630</v>
      </c>
      <c r="I42" s="237">
        <v>490</v>
      </c>
      <c r="J42" s="237">
        <v>26210</v>
      </c>
      <c r="K42" s="237">
        <v>11190</v>
      </c>
      <c r="L42" s="237">
        <v>19640</v>
      </c>
      <c r="M42" s="237">
        <f t="shared" si="0"/>
        <v>173150</v>
      </c>
      <c r="N42" s="237">
        <v>34710</v>
      </c>
      <c r="O42" s="237">
        <v>3990</v>
      </c>
      <c r="P42" s="237">
        <v>44910</v>
      </c>
      <c r="Q42" s="237">
        <v>8090</v>
      </c>
      <c r="R42" s="237">
        <v>4630</v>
      </c>
      <c r="S42" s="237">
        <v>490</v>
      </c>
      <c r="T42" s="237">
        <v>12730</v>
      </c>
      <c r="U42" s="237">
        <f t="shared" si="1"/>
        <v>109550</v>
      </c>
      <c r="V42" s="238">
        <f t="shared" si="4"/>
        <v>282700</v>
      </c>
    </row>
    <row r="43" spans="1:25" s="239" customFormat="1" ht="15.95" customHeight="1">
      <c r="A43" s="235">
        <v>4</v>
      </c>
      <c r="B43" s="236"/>
      <c r="C43" s="237">
        <v>56320</v>
      </c>
      <c r="D43" s="237">
        <v>6490</v>
      </c>
      <c r="E43" s="237">
        <v>66910</v>
      </c>
      <c r="F43" s="237">
        <v>13120</v>
      </c>
      <c r="G43" s="237">
        <v>13400</v>
      </c>
      <c r="H43" s="237">
        <v>4090</v>
      </c>
      <c r="I43" s="237">
        <v>420</v>
      </c>
      <c r="J43" s="237">
        <v>23310</v>
      </c>
      <c r="K43" s="237">
        <v>15770</v>
      </c>
      <c r="L43" s="237">
        <v>14490</v>
      </c>
      <c r="M43" s="237">
        <f t="shared" si="0"/>
        <v>214320</v>
      </c>
      <c r="N43" s="237">
        <v>51880</v>
      </c>
      <c r="O43" s="237">
        <v>5970</v>
      </c>
      <c r="P43" s="237">
        <v>67140</v>
      </c>
      <c r="Q43" s="237">
        <v>12100</v>
      </c>
      <c r="R43" s="237">
        <v>4090</v>
      </c>
      <c r="S43" s="237">
        <v>420</v>
      </c>
      <c r="T43" s="237">
        <v>11270</v>
      </c>
      <c r="U43" s="237">
        <f t="shared" si="1"/>
        <v>152870</v>
      </c>
      <c r="V43" s="238">
        <f t="shared" si="4"/>
        <v>367190</v>
      </c>
      <c r="X43" s="239">
        <v>0</v>
      </c>
      <c r="Y43" s="239">
        <v>0</v>
      </c>
    </row>
    <row r="44" spans="1:25" s="239" customFormat="1" ht="15.95" customHeight="1">
      <c r="A44" s="235">
        <v>4</v>
      </c>
      <c r="B44" s="236"/>
      <c r="C44" s="237">
        <v>80900</v>
      </c>
      <c r="D44" s="237">
        <v>8320</v>
      </c>
      <c r="E44" s="237">
        <v>105660</v>
      </c>
      <c r="F44" s="237">
        <v>19050</v>
      </c>
      <c r="G44" s="237">
        <v>20240</v>
      </c>
      <c r="H44" s="237">
        <v>-51780</v>
      </c>
      <c r="I44" s="237">
        <v>-5340</v>
      </c>
      <c r="J44" s="237"/>
      <c r="K44" s="237">
        <v>23810</v>
      </c>
      <c r="L44" s="237"/>
      <c r="M44" s="237">
        <f t="shared" si="0"/>
        <v>200860</v>
      </c>
      <c r="N44" s="237">
        <v>83940</v>
      </c>
      <c r="O44" s="237">
        <v>10660</v>
      </c>
      <c r="P44" s="237">
        <v>105660</v>
      </c>
      <c r="Q44" s="237">
        <v>19050</v>
      </c>
      <c r="R44" s="237">
        <v>-51780</v>
      </c>
      <c r="S44" s="237">
        <v>-5340</v>
      </c>
      <c r="T44" s="237"/>
      <c r="U44" s="237">
        <f t="shared" si="1"/>
        <v>162190</v>
      </c>
      <c r="V44" s="238">
        <f t="shared" si="4"/>
        <v>363050</v>
      </c>
    </row>
    <row r="45" spans="1:25" s="239" customFormat="1" ht="15.95" customHeight="1">
      <c r="A45" s="235">
        <v>4</v>
      </c>
      <c r="B45" s="201" t="s">
        <v>487</v>
      </c>
      <c r="C45" s="237">
        <v>87850</v>
      </c>
      <c r="D45" s="237">
        <v>7080</v>
      </c>
      <c r="E45" s="237">
        <v>109570</v>
      </c>
      <c r="F45" s="237">
        <v>20490</v>
      </c>
      <c r="G45" s="237">
        <v>21380</v>
      </c>
      <c r="H45" s="237">
        <v>4320</v>
      </c>
      <c r="I45" s="237">
        <v>360</v>
      </c>
      <c r="J45" s="237">
        <v>21160</v>
      </c>
      <c r="K45" s="237">
        <v>25150</v>
      </c>
      <c r="L45" s="237">
        <v>13150</v>
      </c>
      <c r="M45" s="237">
        <f t="shared" si="0"/>
        <v>310510</v>
      </c>
      <c r="N45" s="237">
        <v>84690</v>
      </c>
      <c r="O45" s="237">
        <v>6820</v>
      </c>
      <c r="P45" s="237">
        <v>109570</v>
      </c>
      <c r="Q45" s="237">
        <v>19750</v>
      </c>
      <c r="R45" s="237">
        <v>4320</v>
      </c>
      <c r="S45" s="237">
        <v>360</v>
      </c>
      <c r="T45" s="237">
        <v>10230</v>
      </c>
      <c r="U45" s="237">
        <f t="shared" si="1"/>
        <v>235740</v>
      </c>
      <c r="V45" s="238">
        <f t="shared" si="4"/>
        <v>546250</v>
      </c>
    </row>
    <row r="46" spans="1:25" s="239" customFormat="1" ht="15.95" customHeight="1">
      <c r="A46" s="235">
        <v>4</v>
      </c>
      <c r="B46" s="201" t="s">
        <v>484</v>
      </c>
      <c r="C46" s="237"/>
      <c r="D46" s="237"/>
      <c r="E46" s="237"/>
      <c r="F46" s="237"/>
      <c r="G46" s="237"/>
      <c r="H46" s="237"/>
      <c r="I46" s="237"/>
      <c r="J46" s="237">
        <v>36770</v>
      </c>
      <c r="K46" s="237"/>
      <c r="L46" s="237">
        <v>22940</v>
      </c>
      <c r="M46" s="237">
        <f t="shared" si="0"/>
        <v>59710</v>
      </c>
      <c r="N46" s="237"/>
      <c r="O46" s="237"/>
      <c r="P46" s="237"/>
      <c r="Q46" s="237"/>
      <c r="R46" s="237"/>
      <c r="S46" s="237"/>
      <c r="T46" s="237">
        <v>17840</v>
      </c>
      <c r="U46" s="237">
        <f t="shared" si="1"/>
        <v>17840</v>
      </c>
      <c r="V46" s="238">
        <f t="shared" si="4"/>
        <v>77550</v>
      </c>
    </row>
    <row r="47" spans="1:25" s="239" customFormat="1" ht="15.95" customHeight="1">
      <c r="A47" s="235">
        <v>4</v>
      </c>
      <c r="B47" s="201" t="s">
        <v>488</v>
      </c>
      <c r="C47" s="237">
        <v>85740</v>
      </c>
      <c r="D47" s="237">
        <v>9870</v>
      </c>
      <c r="E47" s="237">
        <v>108450</v>
      </c>
      <c r="F47" s="237">
        <v>18740</v>
      </c>
      <c r="G47" s="237">
        <v>34340</v>
      </c>
      <c r="H47" s="237">
        <v>6350</v>
      </c>
      <c r="I47" s="237">
        <v>690</v>
      </c>
      <c r="J47" s="237">
        <v>-2700</v>
      </c>
      <c r="K47" s="237">
        <v>24720</v>
      </c>
      <c r="L47" s="237">
        <v>880</v>
      </c>
      <c r="M47" s="237">
        <f t="shared" si="0"/>
        <v>287080</v>
      </c>
      <c r="N47" s="237">
        <v>83840</v>
      </c>
      <c r="O47" s="237">
        <v>9650</v>
      </c>
      <c r="P47" s="237">
        <v>108450</v>
      </c>
      <c r="Q47" s="237">
        <v>20800</v>
      </c>
      <c r="R47" s="237">
        <v>6350</v>
      </c>
      <c r="S47" s="237">
        <v>690</v>
      </c>
      <c r="T47" s="237">
        <v>-1310</v>
      </c>
      <c r="U47" s="237">
        <f t="shared" si="1"/>
        <v>228470</v>
      </c>
      <c r="V47" s="238">
        <f t="shared" si="4"/>
        <v>515550</v>
      </c>
    </row>
    <row r="48" spans="1:25" s="239" customFormat="1" ht="15.95" customHeight="1">
      <c r="A48" s="235">
        <v>4</v>
      </c>
      <c r="B48" s="201" t="s">
        <v>489</v>
      </c>
      <c r="C48" s="237">
        <v>14930</v>
      </c>
      <c r="D48" s="237">
        <v>1710</v>
      </c>
      <c r="E48" s="237">
        <v>43920</v>
      </c>
      <c r="F48" s="237">
        <v>4400</v>
      </c>
      <c r="G48" s="237">
        <v>6000</v>
      </c>
      <c r="H48" s="237">
        <v>-76670</v>
      </c>
      <c r="I48" s="237">
        <v>-7820</v>
      </c>
      <c r="J48" s="237">
        <v>-31990</v>
      </c>
      <c r="K48" s="237">
        <v>7060</v>
      </c>
      <c r="L48" s="237">
        <v>-15940</v>
      </c>
      <c r="M48" s="237">
        <f t="shared" si="0"/>
        <v>-54400</v>
      </c>
      <c r="N48" s="237">
        <v>33490</v>
      </c>
      <c r="O48" s="237">
        <v>3850</v>
      </c>
      <c r="P48" s="237">
        <v>43920</v>
      </c>
      <c r="Q48" s="237">
        <v>6880</v>
      </c>
      <c r="R48" s="237">
        <v>-76670</v>
      </c>
      <c r="S48" s="237">
        <v>-7820</v>
      </c>
      <c r="T48" s="237">
        <v>-15500</v>
      </c>
      <c r="U48" s="237">
        <f t="shared" si="1"/>
        <v>-11850</v>
      </c>
      <c r="V48" s="238">
        <f t="shared" si="4"/>
        <v>-66250</v>
      </c>
    </row>
    <row r="49" spans="1:25" s="239" customFormat="1" ht="15.95" customHeight="1">
      <c r="A49" s="235">
        <v>4</v>
      </c>
      <c r="B49" s="236"/>
      <c r="C49" s="237">
        <v>16730</v>
      </c>
      <c r="D49" s="237">
        <v>1930</v>
      </c>
      <c r="E49" s="237">
        <v>43920</v>
      </c>
      <c r="F49" s="237">
        <v>18240</v>
      </c>
      <c r="G49" s="237">
        <v>13400</v>
      </c>
      <c r="H49" s="237">
        <v>-69190</v>
      </c>
      <c r="I49" s="237">
        <v>-7040</v>
      </c>
      <c r="J49" s="237">
        <v>138660</v>
      </c>
      <c r="K49" s="237">
        <v>7320</v>
      </c>
      <c r="L49" s="237">
        <v>-17910</v>
      </c>
      <c r="M49" s="237">
        <f t="shared" si="0"/>
        <v>146060</v>
      </c>
      <c r="N49" s="237">
        <v>33490</v>
      </c>
      <c r="O49" s="237">
        <v>3850</v>
      </c>
      <c r="P49" s="237">
        <v>43920</v>
      </c>
      <c r="Q49" s="237">
        <v>6980</v>
      </c>
      <c r="R49" s="237">
        <v>-69190</v>
      </c>
      <c r="S49" s="237">
        <v>-7040</v>
      </c>
      <c r="T49" s="237">
        <v>67250</v>
      </c>
      <c r="U49" s="237">
        <f t="shared" si="1"/>
        <v>79260</v>
      </c>
      <c r="V49" s="238">
        <f t="shared" si="4"/>
        <v>225320</v>
      </c>
    </row>
    <row r="50" spans="1:25" s="239" customFormat="1" ht="15.95" customHeight="1">
      <c r="A50" s="235">
        <v>4</v>
      </c>
      <c r="B50" s="236"/>
      <c r="C50" s="237">
        <v>42060</v>
      </c>
      <c r="D50" s="237">
        <v>4840</v>
      </c>
      <c r="E50" s="237">
        <v>66330</v>
      </c>
      <c r="F50" s="237">
        <v>11930</v>
      </c>
      <c r="G50" s="237">
        <v>12510</v>
      </c>
      <c r="H50" s="237">
        <v>-70380</v>
      </c>
      <c r="I50" s="237">
        <v>-7240</v>
      </c>
      <c r="J50" s="237">
        <v>-360</v>
      </c>
      <c r="K50" s="237">
        <v>14710</v>
      </c>
      <c r="L50" s="237">
        <v>-310</v>
      </c>
      <c r="M50" s="237">
        <f t="shared" si="0"/>
        <v>74090</v>
      </c>
      <c r="N50" s="237">
        <v>42060</v>
      </c>
      <c r="O50" s="237">
        <v>4840</v>
      </c>
      <c r="P50" s="237">
        <v>66330</v>
      </c>
      <c r="Q50" s="237">
        <v>11610</v>
      </c>
      <c r="R50" s="237">
        <v>-70380</v>
      </c>
      <c r="S50" s="237">
        <v>-7240</v>
      </c>
      <c r="T50" s="237">
        <v>-160</v>
      </c>
      <c r="U50" s="237">
        <f t="shared" si="1"/>
        <v>47060</v>
      </c>
      <c r="V50" s="238">
        <f t="shared" si="4"/>
        <v>121150</v>
      </c>
    </row>
    <row r="51" spans="1:25" s="239" customFormat="1" ht="15.95" customHeight="1">
      <c r="A51" s="235">
        <v>4</v>
      </c>
      <c r="B51" s="240"/>
      <c r="C51" s="237">
        <v>140490</v>
      </c>
      <c r="D51" s="237">
        <v>17790</v>
      </c>
      <c r="E51" s="237">
        <v>71820</v>
      </c>
      <c r="F51" s="237"/>
      <c r="G51" s="237"/>
      <c r="H51" s="237"/>
      <c r="I51" s="237"/>
      <c r="J51" s="237"/>
      <c r="K51" s="237">
        <v>50600</v>
      </c>
      <c r="L51" s="237"/>
      <c r="M51" s="237">
        <f t="shared" si="0"/>
        <v>280700</v>
      </c>
      <c r="N51" s="237">
        <v>95450</v>
      </c>
      <c r="O51" s="237">
        <v>9090</v>
      </c>
      <c r="P51" s="237">
        <v>125180</v>
      </c>
      <c r="Q51" s="237"/>
      <c r="R51" s="237"/>
      <c r="S51" s="237"/>
      <c r="T51" s="237"/>
      <c r="U51" s="237">
        <f t="shared" si="1"/>
        <v>229720</v>
      </c>
      <c r="V51" s="238">
        <f t="shared" si="4"/>
        <v>510420</v>
      </c>
    </row>
    <row r="52" spans="1:25" s="239" customFormat="1" ht="15.95" customHeight="1">
      <c r="A52" s="235">
        <v>4</v>
      </c>
      <c r="B52" s="236"/>
      <c r="C52" s="237"/>
      <c r="D52" s="237"/>
      <c r="E52" s="237"/>
      <c r="F52" s="237"/>
      <c r="G52" s="237">
        <v>4850</v>
      </c>
      <c r="H52" s="237"/>
      <c r="I52" s="237"/>
      <c r="J52" s="237"/>
      <c r="K52" s="237">
        <v>5600</v>
      </c>
      <c r="L52" s="237">
        <v>120</v>
      </c>
      <c r="M52" s="237">
        <f t="shared" si="0"/>
        <v>10570</v>
      </c>
      <c r="N52" s="237"/>
      <c r="O52" s="237"/>
      <c r="P52" s="237"/>
      <c r="Q52" s="237"/>
      <c r="R52" s="237"/>
      <c r="S52" s="237"/>
      <c r="T52" s="237"/>
      <c r="U52" s="237">
        <f t="shared" si="1"/>
        <v>0</v>
      </c>
      <c r="V52" s="238">
        <f t="shared" si="4"/>
        <v>10570</v>
      </c>
      <c r="X52" s="239">
        <v>0</v>
      </c>
    </row>
    <row r="53" spans="1:25" s="239" customFormat="1" ht="15.95" customHeight="1">
      <c r="A53" s="235">
        <v>4</v>
      </c>
      <c r="B53" s="236"/>
      <c r="C53" s="237">
        <v>69620</v>
      </c>
      <c r="D53" s="237">
        <v>8020</v>
      </c>
      <c r="E53" s="237"/>
      <c r="F53" s="237">
        <v>16240</v>
      </c>
      <c r="G53" s="237">
        <v>17250</v>
      </c>
      <c r="H53" s="237"/>
      <c r="I53" s="237"/>
      <c r="J53" s="237"/>
      <c r="K53" s="237">
        <v>20300</v>
      </c>
      <c r="L53" s="237"/>
      <c r="M53" s="237">
        <f t="shared" si="0"/>
        <v>131430</v>
      </c>
      <c r="N53" s="237">
        <v>69620</v>
      </c>
      <c r="O53" s="237">
        <v>8020</v>
      </c>
      <c r="P53" s="237"/>
      <c r="Q53" s="237">
        <v>16240</v>
      </c>
      <c r="R53" s="237"/>
      <c r="S53" s="237"/>
      <c r="T53" s="237"/>
      <c r="U53" s="237">
        <f t="shared" si="1"/>
        <v>93880</v>
      </c>
      <c r="V53" s="238">
        <f t="shared" si="4"/>
        <v>225310</v>
      </c>
    </row>
    <row r="54" spans="1:25" s="239" customFormat="1" ht="15.95" customHeight="1">
      <c r="A54" s="241">
        <v>5</v>
      </c>
      <c r="B54" s="201"/>
      <c r="C54" s="233"/>
      <c r="D54" s="233"/>
      <c r="E54" s="233"/>
      <c r="F54" s="233"/>
      <c r="G54" s="233"/>
      <c r="H54" s="233"/>
      <c r="I54" s="233"/>
      <c r="J54" s="233"/>
      <c r="K54" s="233"/>
      <c r="L54" s="233"/>
      <c r="M54" s="233">
        <f t="shared" si="0"/>
        <v>0</v>
      </c>
      <c r="N54" s="233"/>
      <c r="O54" s="233"/>
      <c r="P54" s="233"/>
      <c r="Q54" s="233"/>
      <c r="R54" s="233"/>
      <c r="S54" s="233"/>
      <c r="T54" s="233"/>
      <c r="U54" s="233">
        <f t="shared" si="1"/>
        <v>0</v>
      </c>
      <c r="V54" s="242">
        <f t="shared" si="4"/>
        <v>0</v>
      </c>
    </row>
    <row r="55" spans="1:25" s="239" customFormat="1" ht="15.95" customHeight="1">
      <c r="A55" s="241">
        <v>5</v>
      </c>
      <c r="B55" s="201"/>
      <c r="C55" s="233"/>
      <c r="D55" s="233"/>
      <c r="E55" s="233"/>
      <c r="F55" s="233"/>
      <c r="G55" s="233"/>
      <c r="H55" s="233"/>
      <c r="I55" s="233"/>
      <c r="J55" s="233"/>
      <c r="K55" s="233"/>
      <c r="L55" s="233"/>
      <c r="M55" s="233">
        <f t="shared" si="0"/>
        <v>0</v>
      </c>
      <c r="N55" s="233"/>
      <c r="O55" s="233"/>
      <c r="P55" s="233"/>
      <c r="Q55" s="233"/>
      <c r="R55" s="233"/>
      <c r="S55" s="233"/>
      <c r="T55" s="233"/>
      <c r="U55" s="233">
        <f t="shared" si="1"/>
        <v>0</v>
      </c>
      <c r="V55" s="242">
        <f t="shared" si="4"/>
        <v>0</v>
      </c>
    </row>
    <row r="56" spans="1:25" s="239" customFormat="1" ht="15.95" customHeight="1">
      <c r="A56" s="241">
        <v>5</v>
      </c>
      <c r="B56" s="201"/>
      <c r="C56" s="233"/>
      <c r="D56" s="233"/>
      <c r="E56" s="233"/>
      <c r="F56" s="233"/>
      <c r="G56" s="233"/>
      <c r="H56" s="233"/>
      <c r="I56" s="233"/>
      <c r="J56" s="233"/>
      <c r="K56" s="233"/>
      <c r="L56" s="233"/>
      <c r="M56" s="233">
        <f t="shared" si="0"/>
        <v>0</v>
      </c>
      <c r="N56" s="233"/>
      <c r="O56" s="233"/>
      <c r="P56" s="233"/>
      <c r="Q56" s="233"/>
      <c r="R56" s="233"/>
      <c r="S56" s="233"/>
      <c r="T56" s="233"/>
      <c r="U56" s="233">
        <f t="shared" si="1"/>
        <v>0</v>
      </c>
      <c r="V56" s="242">
        <f t="shared" si="4"/>
        <v>0</v>
      </c>
      <c r="X56" s="239">
        <v>0</v>
      </c>
      <c r="Y56" s="239">
        <v>0</v>
      </c>
    </row>
    <row r="57" spans="1:25" s="239" customFormat="1" ht="15.95" customHeight="1">
      <c r="A57" s="241">
        <v>5</v>
      </c>
      <c r="B57" s="201"/>
      <c r="C57" s="233"/>
      <c r="D57" s="233"/>
      <c r="E57" s="233"/>
      <c r="F57" s="233"/>
      <c r="G57" s="233"/>
      <c r="H57" s="233"/>
      <c r="I57" s="233"/>
      <c r="J57" s="233"/>
      <c r="K57" s="233"/>
      <c r="L57" s="233"/>
      <c r="M57" s="233">
        <f t="shared" si="0"/>
        <v>0</v>
      </c>
      <c r="N57" s="233"/>
      <c r="O57" s="233"/>
      <c r="P57" s="233"/>
      <c r="Q57" s="233"/>
      <c r="R57" s="233"/>
      <c r="S57" s="233"/>
      <c r="T57" s="233"/>
      <c r="U57" s="233">
        <f t="shared" si="1"/>
        <v>0</v>
      </c>
      <c r="V57" s="242">
        <f t="shared" si="4"/>
        <v>0</v>
      </c>
    </row>
    <row r="58" spans="1:25" s="239" customFormat="1" ht="15.95" customHeight="1">
      <c r="A58" s="241">
        <v>5</v>
      </c>
      <c r="B58" s="201"/>
      <c r="C58" s="233"/>
      <c r="D58" s="233"/>
      <c r="E58" s="233"/>
      <c r="F58" s="233"/>
      <c r="G58" s="233"/>
      <c r="H58" s="233"/>
      <c r="I58" s="233"/>
      <c r="J58" s="233"/>
      <c r="K58" s="233"/>
      <c r="L58" s="233"/>
      <c r="M58" s="233">
        <f t="shared" si="0"/>
        <v>0</v>
      </c>
      <c r="N58" s="233"/>
      <c r="O58" s="233"/>
      <c r="P58" s="233"/>
      <c r="Q58" s="233"/>
      <c r="R58" s="233"/>
      <c r="S58" s="233"/>
      <c r="T58" s="233"/>
      <c r="U58" s="233">
        <f t="shared" si="1"/>
        <v>0</v>
      </c>
      <c r="V58" s="242">
        <f t="shared" si="4"/>
        <v>0</v>
      </c>
    </row>
    <row r="59" spans="1:25" s="239" customFormat="1" ht="15.95" customHeight="1">
      <c r="A59" s="241">
        <v>5</v>
      </c>
      <c r="B59" s="201"/>
      <c r="C59" s="233"/>
      <c r="D59" s="233"/>
      <c r="E59" s="233"/>
      <c r="F59" s="233"/>
      <c r="G59" s="233"/>
      <c r="H59" s="233"/>
      <c r="I59" s="233"/>
      <c r="J59" s="233"/>
      <c r="K59" s="233"/>
      <c r="L59" s="233"/>
      <c r="M59" s="233">
        <f t="shared" si="0"/>
        <v>0</v>
      </c>
      <c r="N59" s="233"/>
      <c r="O59" s="233"/>
      <c r="P59" s="233"/>
      <c r="Q59" s="233"/>
      <c r="R59" s="233"/>
      <c r="S59" s="233"/>
      <c r="T59" s="233"/>
      <c r="U59" s="233">
        <f t="shared" si="1"/>
        <v>0</v>
      </c>
      <c r="V59" s="242">
        <f t="shared" si="4"/>
        <v>0</v>
      </c>
    </row>
    <row r="60" spans="1:25" s="239" customFormat="1" ht="15.95" customHeight="1">
      <c r="A60" s="241">
        <v>5</v>
      </c>
      <c r="B60" s="201"/>
      <c r="C60" s="233"/>
      <c r="D60" s="233"/>
      <c r="E60" s="233"/>
      <c r="F60" s="233"/>
      <c r="G60" s="233"/>
      <c r="H60" s="233"/>
      <c r="I60" s="233"/>
      <c r="J60" s="233"/>
      <c r="K60" s="233"/>
      <c r="L60" s="233"/>
      <c r="M60" s="233">
        <f t="shared" si="0"/>
        <v>0</v>
      </c>
      <c r="N60" s="233"/>
      <c r="O60" s="233"/>
      <c r="P60" s="233"/>
      <c r="Q60" s="233"/>
      <c r="R60" s="233"/>
      <c r="S60" s="233"/>
      <c r="T60" s="233"/>
      <c r="U60" s="233">
        <f t="shared" si="1"/>
        <v>0</v>
      </c>
      <c r="V60" s="242">
        <f t="shared" si="4"/>
        <v>0</v>
      </c>
    </row>
    <row r="61" spans="1:25" s="239" customFormat="1" ht="15.95" customHeight="1">
      <c r="A61" s="241">
        <v>5</v>
      </c>
      <c r="B61" s="201"/>
      <c r="C61" s="233"/>
      <c r="D61" s="233"/>
      <c r="E61" s="233"/>
      <c r="F61" s="233"/>
      <c r="G61" s="233"/>
      <c r="H61" s="233"/>
      <c r="I61" s="233"/>
      <c r="J61" s="233"/>
      <c r="K61" s="233"/>
      <c r="L61" s="233"/>
      <c r="M61" s="233">
        <f t="shared" si="0"/>
        <v>0</v>
      </c>
      <c r="N61" s="233"/>
      <c r="O61" s="233"/>
      <c r="P61" s="233"/>
      <c r="Q61" s="233"/>
      <c r="R61" s="233"/>
      <c r="S61" s="233"/>
      <c r="T61" s="233"/>
      <c r="U61" s="233">
        <f t="shared" si="1"/>
        <v>0</v>
      </c>
      <c r="V61" s="242">
        <f t="shared" si="4"/>
        <v>0</v>
      </c>
    </row>
    <row r="62" spans="1:25" s="239" customFormat="1" ht="15.95" customHeight="1">
      <c r="A62" s="241">
        <v>5</v>
      </c>
      <c r="B62" s="201"/>
      <c r="C62" s="233"/>
      <c r="D62" s="233"/>
      <c r="E62" s="233"/>
      <c r="F62" s="233"/>
      <c r="G62" s="233"/>
      <c r="H62" s="233"/>
      <c r="I62" s="233"/>
      <c r="J62" s="233"/>
      <c r="K62" s="233"/>
      <c r="L62" s="233"/>
      <c r="M62" s="233">
        <f t="shared" si="0"/>
        <v>0</v>
      </c>
      <c r="N62" s="233"/>
      <c r="O62" s="233"/>
      <c r="P62" s="233"/>
      <c r="Q62" s="233"/>
      <c r="R62" s="233"/>
      <c r="S62" s="233"/>
      <c r="T62" s="233"/>
      <c r="U62" s="233">
        <f t="shared" si="1"/>
        <v>0</v>
      </c>
      <c r="V62" s="242">
        <f t="shared" si="4"/>
        <v>0</v>
      </c>
    </row>
    <row r="63" spans="1:25" s="239" customFormat="1" ht="15.95" customHeight="1">
      <c r="A63" s="241">
        <v>5</v>
      </c>
      <c r="B63" s="201"/>
      <c r="C63" s="233"/>
      <c r="D63" s="233"/>
      <c r="E63" s="233"/>
      <c r="F63" s="233"/>
      <c r="G63" s="233"/>
      <c r="H63" s="233"/>
      <c r="I63" s="233"/>
      <c r="J63" s="233"/>
      <c r="K63" s="233"/>
      <c r="L63" s="233"/>
      <c r="M63" s="233">
        <f t="shared" si="0"/>
        <v>0</v>
      </c>
      <c r="N63" s="233"/>
      <c r="O63" s="233"/>
      <c r="P63" s="233"/>
      <c r="Q63" s="233"/>
      <c r="R63" s="233"/>
      <c r="S63" s="233"/>
      <c r="T63" s="233"/>
      <c r="U63" s="233">
        <f t="shared" si="1"/>
        <v>0</v>
      </c>
      <c r="V63" s="242">
        <f t="shared" si="4"/>
        <v>0</v>
      </c>
    </row>
    <row r="64" spans="1:25" s="239" customFormat="1" ht="15.95" customHeight="1">
      <c r="A64" s="241">
        <v>5</v>
      </c>
      <c r="B64" s="207"/>
      <c r="C64" s="233"/>
      <c r="D64" s="233"/>
      <c r="E64" s="233"/>
      <c r="F64" s="233"/>
      <c r="G64" s="233"/>
      <c r="H64" s="233"/>
      <c r="I64" s="233"/>
      <c r="J64" s="233"/>
      <c r="K64" s="233"/>
      <c r="L64" s="233"/>
      <c r="M64" s="233">
        <f t="shared" si="0"/>
        <v>0</v>
      </c>
      <c r="N64" s="233"/>
      <c r="O64" s="233"/>
      <c r="P64" s="233"/>
      <c r="Q64" s="233"/>
      <c r="R64" s="233"/>
      <c r="S64" s="233"/>
      <c r="T64" s="233"/>
      <c r="U64" s="233">
        <f t="shared" si="1"/>
        <v>0</v>
      </c>
      <c r="V64" s="242">
        <f t="shared" si="4"/>
        <v>0</v>
      </c>
    </row>
    <row r="65" spans="1:25" s="239" customFormat="1" ht="15.95" customHeight="1">
      <c r="A65" s="241">
        <v>5</v>
      </c>
      <c r="B65" s="201"/>
      <c r="C65" s="233"/>
      <c r="D65" s="233"/>
      <c r="E65" s="233"/>
      <c r="F65" s="233"/>
      <c r="G65" s="233"/>
      <c r="H65" s="233"/>
      <c r="I65" s="233"/>
      <c r="J65" s="233"/>
      <c r="K65" s="233"/>
      <c r="L65" s="233"/>
      <c r="M65" s="233">
        <f t="shared" ref="M65:M79" si="5">SUM(C65:L65)</f>
        <v>0</v>
      </c>
      <c r="N65" s="233"/>
      <c r="O65" s="233"/>
      <c r="P65" s="233"/>
      <c r="Q65" s="233"/>
      <c r="R65" s="233"/>
      <c r="S65" s="233"/>
      <c r="T65" s="233"/>
      <c r="U65" s="233">
        <f t="shared" ref="U65:U79" si="6">SUM(N65:T65)</f>
        <v>0</v>
      </c>
      <c r="V65" s="242">
        <f t="shared" si="4"/>
        <v>0</v>
      </c>
    </row>
    <row r="66" spans="1:25" s="239" customFormat="1" ht="15.95" customHeight="1">
      <c r="A66" s="241">
        <v>5</v>
      </c>
      <c r="B66" s="201"/>
      <c r="C66" s="233"/>
      <c r="D66" s="233"/>
      <c r="E66" s="233"/>
      <c r="F66" s="233"/>
      <c r="G66" s="233"/>
      <c r="H66" s="233"/>
      <c r="I66" s="233"/>
      <c r="J66" s="233"/>
      <c r="K66" s="233"/>
      <c r="L66" s="233"/>
      <c r="M66" s="233"/>
      <c r="N66" s="233"/>
      <c r="O66" s="233"/>
      <c r="P66" s="233"/>
      <c r="Q66" s="233"/>
      <c r="R66" s="233"/>
      <c r="S66" s="233"/>
      <c r="T66" s="233"/>
      <c r="U66" s="233"/>
      <c r="V66" s="242"/>
    </row>
    <row r="67" spans="1:25" s="239" customFormat="1" ht="15.95" customHeight="1">
      <c r="A67" s="241">
        <v>5</v>
      </c>
      <c r="B67" s="201"/>
      <c r="C67" s="233"/>
      <c r="D67" s="233"/>
      <c r="E67" s="233"/>
      <c r="F67" s="233"/>
      <c r="G67" s="233"/>
      <c r="H67" s="233"/>
      <c r="I67" s="233"/>
      <c r="J67" s="233"/>
      <c r="K67" s="233"/>
      <c r="L67" s="233"/>
      <c r="M67" s="233"/>
      <c r="N67" s="233"/>
      <c r="O67" s="233"/>
      <c r="P67" s="233"/>
      <c r="Q67" s="233"/>
      <c r="R67" s="233"/>
      <c r="S67" s="233"/>
      <c r="T67" s="233"/>
      <c r="U67" s="233"/>
      <c r="V67" s="242"/>
    </row>
    <row r="68" spans="1:25" s="239" customFormat="1" ht="15.95" customHeight="1">
      <c r="A68" s="235">
        <v>6</v>
      </c>
      <c r="B68" s="236"/>
      <c r="C68" s="237"/>
      <c r="D68" s="237"/>
      <c r="E68" s="237"/>
      <c r="F68" s="237"/>
      <c r="G68" s="237"/>
      <c r="H68" s="237"/>
      <c r="I68" s="237"/>
      <c r="J68" s="237"/>
      <c r="K68" s="237"/>
      <c r="L68" s="237"/>
      <c r="M68" s="237">
        <f t="shared" si="5"/>
        <v>0</v>
      </c>
      <c r="N68" s="237"/>
      <c r="O68" s="237"/>
      <c r="P68" s="237"/>
      <c r="Q68" s="237"/>
      <c r="R68" s="237"/>
      <c r="S68" s="237"/>
      <c r="T68" s="237"/>
      <c r="U68" s="237">
        <f t="shared" si="6"/>
        <v>0</v>
      </c>
      <c r="V68" s="238">
        <f t="shared" si="4"/>
        <v>0</v>
      </c>
    </row>
    <row r="69" spans="1:25" s="239" customFormat="1" ht="15.95" customHeight="1">
      <c r="A69" s="235">
        <v>6</v>
      </c>
      <c r="B69" s="236"/>
      <c r="C69" s="237"/>
      <c r="D69" s="237"/>
      <c r="E69" s="237"/>
      <c r="F69" s="237"/>
      <c r="G69" s="237"/>
      <c r="H69" s="237"/>
      <c r="I69" s="237"/>
      <c r="J69" s="237"/>
      <c r="K69" s="237"/>
      <c r="L69" s="237"/>
      <c r="M69" s="237">
        <f t="shared" si="5"/>
        <v>0</v>
      </c>
      <c r="N69" s="237"/>
      <c r="O69" s="237"/>
      <c r="P69" s="237"/>
      <c r="Q69" s="237"/>
      <c r="R69" s="237"/>
      <c r="S69" s="237"/>
      <c r="T69" s="237"/>
      <c r="U69" s="237">
        <f t="shared" si="6"/>
        <v>0</v>
      </c>
      <c r="V69" s="238">
        <f t="shared" si="4"/>
        <v>0</v>
      </c>
    </row>
    <row r="70" spans="1:25" s="239" customFormat="1" ht="15.95" customHeight="1">
      <c r="A70" s="235">
        <v>6</v>
      </c>
      <c r="B70" s="236"/>
      <c r="C70" s="237"/>
      <c r="D70" s="237"/>
      <c r="E70" s="237"/>
      <c r="F70" s="237"/>
      <c r="G70" s="237"/>
      <c r="H70" s="237"/>
      <c r="I70" s="237"/>
      <c r="J70" s="237"/>
      <c r="K70" s="237"/>
      <c r="L70" s="237"/>
      <c r="M70" s="237">
        <f t="shared" si="5"/>
        <v>0</v>
      </c>
      <c r="N70" s="237"/>
      <c r="O70" s="237"/>
      <c r="P70" s="237"/>
      <c r="Q70" s="237"/>
      <c r="R70" s="237"/>
      <c r="S70" s="237"/>
      <c r="T70" s="237"/>
      <c r="U70" s="237">
        <f t="shared" si="6"/>
        <v>0</v>
      </c>
      <c r="V70" s="238">
        <f t="shared" si="4"/>
        <v>0</v>
      </c>
      <c r="X70" s="239">
        <v>0</v>
      </c>
      <c r="Y70" s="239">
        <v>0</v>
      </c>
    </row>
    <row r="71" spans="1:25" s="239" customFormat="1" ht="15.95" customHeight="1">
      <c r="A71" s="235">
        <v>6</v>
      </c>
      <c r="B71" s="236"/>
      <c r="C71" s="237"/>
      <c r="D71" s="237"/>
      <c r="E71" s="237"/>
      <c r="F71" s="237"/>
      <c r="G71" s="237"/>
      <c r="H71" s="237"/>
      <c r="I71" s="237"/>
      <c r="J71" s="237"/>
      <c r="K71" s="237"/>
      <c r="L71" s="237"/>
      <c r="M71" s="237">
        <f t="shared" si="5"/>
        <v>0</v>
      </c>
      <c r="N71" s="237"/>
      <c r="O71" s="237"/>
      <c r="P71" s="237"/>
      <c r="Q71" s="237"/>
      <c r="R71" s="237"/>
      <c r="S71" s="237"/>
      <c r="T71" s="237"/>
      <c r="U71" s="237">
        <f t="shared" si="6"/>
        <v>0</v>
      </c>
      <c r="V71" s="238">
        <f t="shared" si="4"/>
        <v>0</v>
      </c>
    </row>
    <row r="72" spans="1:25" s="239" customFormat="1" ht="15.95" customHeight="1">
      <c r="A72" s="235">
        <v>6</v>
      </c>
      <c r="B72" s="236"/>
      <c r="C72" s="237"/>
      <c r="D72" s="237"/>
      <c r="E72" s="237"/>
      <c r="F72" s="237"/>
      <c r="G72" s="237"/>
      <c r="H72" s="237"/>
      <c r="I72" s="237"/>
      <c r="J72" s="237"/>
      <c r="K72" s="237"/>
      <c r="L72" s="237"/>
      <c r="M72" s="237">
        <f t="shared" si="5"/>
        <v>0</v>
      </c>
      <c r="N72" s="237"/>
      <c r="O72" s="237"/>
      <c r="P72" s="237"/>
      <c r="Q72" s="237"/>
      <c r="R72" s="237"/>
      <c r="S72" s="237"/>
      <c r="T72" s="237"/>
      <c r="U72" s="237">
        <f t="shared" si="6"/>
        <v>0</v>
      </c>
      <c r="V72" s="238">
        <f t="shared" si="4"/>
        <v>0</v>
      </c>
    </row>
    <row r="73" spans="1:25" s="239" customFormat="1" ht="15.95" customHeight="1">
      <c r="A73" s="235">
        <v>6</v>
      </c>
      <c r="B73" s="236"/>
      <c r="C73" s="237"/>
      <c r="D73" s="237"/>
      <c r="E73" s="237"/>
      <c r="F73" s="237"/>
      <c r="G73" s="237"/>
      <c r="H73" s="237"/>
      <c r="I73" s="237"/>
      <c r="J73" s="237"/>
      <c r="K73" s="237"/>
      <c r="L73" s="237"/>
      <c r="M73" s="237">
        <f t="shared" si="5"/>
        <v>0</v>
      </c>
      <c r="N73" s="237"/>
      <c r="O73" s="237"/>
      <c r="P73" s="237"/>
      <c r="Q73" s="237"/>
      <c r="R73" s="237"/>
      <c r="S73" s="237"/>
      <c r="T73" s="237"/>
      <c r="U73" s="237">
        <f t="shared" si="6"/>
        <v>0</v>
      </c>
      <c r="V73" s="238">
        <f t="shared" si="4"/>
        <v>0</v>
      </c>
    </row>
    <row r="74" spans="1:25" s="239" customFormat="1" ht="15.95" customHeight="1">
      <c r="A74" s="235">
        <v>6</v>
      </c>
      <c r="B74" s="236"/>
      <c r="C74" s="237"/>
      <c r="D74" s="237"/>
      <c r="E74" s="237"/>
      <c r="F74" s="237"/>
      <c r="G74" s="237"/>
      <c r="H74" s="237"/>
      <c r="I74" s="237"/>
      <c r="J74" s="237"/>
      <c r="K74" s="237"/>
      <c r="L74" s="237"/>
      <c r="M74" s="237">
        <f t="shared" si="5"/>
        <v>0</v>
      </c>
      <c r="N74" s="237"/>
      <c r="O74" s="237"/>
      <c r="P74" s="237"/>
      <c r="Q74" s="237"/>
      <c r="R74" s="237"/>
      <c r="S74" s="237"/>
      <c r="T74" s="237"/>
      <c r="U74" s="237">
        <f t="shared" si="6"/>
        <v>0</v>
      </c>
      <c r="V74" s="238">
        <f t="shared" si="4"/>
        <v>0</v>
      </c>
    </row>
    <row r="75" spans="1:25" s="239" customFormat="1" ht="15.95" customHeight="1">
      <c r="A75" s="235">
        <v>6</v>
      </c>
      <c r="B75" s="236"/>
      <c r="C75" s="237"/>
      <c r="D75" s="237"/>
      <c r="E75" s="237"/>
      <c r="F75" s="237"/>
      <c r="G75" s="237"/>
      <c r="H75" s="237"/>
      <c r="I75" s="237"/>
      <c r="J75" s="237"/>
      <c r="K75" s="237"/>
      <c r="L75" s="237"/>
      <c r="M75" s="237">
        <f t="shared" si="5"/>
        <v>0</v>
      </c>
      <c r="N75" s="237"/>
      <c r="O75" s="237"/>
      <c r="P75" s="237"/>
      <c r="Q75" s="237"/>
      <c r="R75" s="237"/>
      <c r="S75" s="237"/>
      <c r="T75" s="237"/>
      <c r="U75" s="237">
        <f t="shared" si="6"/>
        <v>0</v>
      </c>
      <c r="V75" s="238">
        <f t="shared" si="4"/>
        <v>0</v>
      </c>
    </row>
    <row r="76" spans="1:25" s="239" customFormat="1" ht="15.95" customHeight="1">
      <c r="A76" s="235">
        <v>6</v>
      </c>
      <c r="B76" s="236"/>
      <c r="C76" s="237"/>
      <c r="D76" s="237"/>
      <c r="E76" s="237"/>
      <c r="F76" s="237"/>
      <c r="G76" s="237"/>
      <c r="H76" s="237"/>
      <c r="I76" s="237"/>
      <c r="J76" s="237"/>
      <c r="K76" s="237"/>
      <c r="L76" s="237"/>
      <c r="M76" s="237">
        <f t="shared" si="5"/>
        <v>0</v>
      </c>
      <c r="N76" s="237"/>
      <c r="O76" s="237"/>
      <c r="P76" s="237"/>
      <c r="Q76" s="237"/>
      <c r="R76" s="237"/>
      <c r="S76" s="237"/>
      <c r="T76" s="237"/>
      <c r="U76" s="237">
        <f t="shared" si="6"/>
        <v>0</v>
      </c>
      <c r="V76" s="238">
        <f t="shared" si="4"/>
        <v>0</v>
      </c>
    </row>
    <row r="77" spans="1:25" s="239" customFormat="1" ht="15.95" customHeight="1">
      <c r="A77" s="235">
        <v>6</v>
      </c>
      <c r="B77" s="236"/>
      <c r="C77" s="237"/>
      <c r="D77" s="237"/>
      <c r="E77" s="237"/>
      <c r="F77" s="237"/>
      <c r="G77" s="237"/>
      <c r="H77" s="237"/>
      <c r="I77" s="237"/>
      <c r="J77" s="237"/>
      <c r="K77" s="237"/>
      <c r="L77" s="237"/>
      <c r="M77" s="237">
        <f t="shared" si="5"/>
        <v>0</v>
      </c>
      <c r="N77" s="237"/>
      <c r="O77" s="237"/>
      <c r="P77" s="237"/>
      <c r="Q77" s="237"/>
      <c r="R77" s="237"/>
      <c r="S77" s="237"/>
      <c r="T77" s="237"/>
      <c r="U77" s="237">
        <f t="shared" si="6"/>
        <v>0</v>
      </c>
      <c r="V77" s="238">
        <f t="shared" si="4"/>
        <v>0</v>
      </c>
    </row>
    <row r="78" spans="1:25" s="239" customFormat="1" ht="15.95" customHeight="1">
      <c r="A78" s="235">
        <v>6</v>
      </c>
      <c r="B78" s="240"/>
      <c r="C78" s="237"/>
      <c r="D78" s="237"/>
      <c r="E78" s="237"/>
      <c r="F78" s="237"/>
      <c r="G78" s="237"/>
      <c r="H78" s="237"/>
      <c r="I78" s="237"/>
      <c r="J78" s="237"/>
      <c r="K78" s="237"/>
      <c r="L78" s="237"/>
      <c r="M78" s="237">
        <f t="shared" si="5"/>
        <v>0</v>
      </c>
      <c r="N78" s="237"/>
      <c r="O78" s="237"/>
      <c r="P78" s="237"/>
      <c r="Q78" s="237"/>
      <c r="R78" s="237"/>
      <c r="S78" s="237"/>
      <c r="T78" s="237"/>
      <c r="U78" s="237">
        <f t="shared" si="6"/>
        <v>0</v>
      </c>
      <c r="V78" s="238">
        <f t="shared" si="4"/>
        <v>0</v>
      </c>
    </row>
    <row r="79" spans="1:25" s="239" customFormat="1" ht="15.95" customHeight="1">
      <c r="A79" s="235">
        <v>6</v>
      </c>
      <c r="B79" s="236"/>
      <c r="C79" s="237"/>
      <c r="D79" s="237"/>
      <c r="E79" s="237"/>
      <c r="F79" s="237"/>
      <c r="G79" s="237"/>
      <c r="H79" s="237"/>
      <c r="I79" s="237"/>
      <c r="J79" s="237"/>
      <c r="K79" s="237"/>
      <c r="L79" s="237"/>
      <c r="M79" s="237">
        <f t="shared" si="5"/>
        <v>0</v>
      </c>
      <c r="N79" s="237"/>
      <c r="O79" s="237"/>
      <c r="P79" s="237"/>
      <c r="Q79" s="237"/>
      <c r="R79" s="237"/>
      <c r="S79" s="237"/>
      <c r="T79" s="237"/>
      <c r="U79" s="237">
        <f t="shared" si="6"/>
        <v>0</v>
      </c>
      <c r="V79" s="238">
        <f t="shared" si="4"/>
        <v>0</v>
      </c>
    </row>
    <row r="80" spans="1:25" s="239" customFormat="1" ht="15.95" customHeight="1">
      <c r="A80" s="241">
        <v>7</v>
      </c>
      <c r="B80" s="201"/>
      <c r="C80" s="233"/>
      <c r="D80" s="233"/>
      <c r="E80" s="233"/>
      <c r="F80" s="233"/>
      <c r="G80" s="233"/>
      <c r="H80" s="233"/>
      <c r="I80" s="233"/>
      <c r="J80" s="233"/>
      <c r="K80" s="233"/>
      <c r="L80" s="233"/>
      <c r="M80" s="233">
        <f t="shared" ref="M80:M91" si="7">SUM(C80:L80)</f>
        <v>0</v>
      </c>
      <c r="N80" s="233"/>
      <c r="O80" s="233"/>
      <c r="P80" s="233"/>
      <c r="Q80" s="233"/>
      <c r="R80" s="233"/>
      <c r="S80" s="233"/>
      <c r="T80" s="233"/>
      <c r="U80" s="233">
        <f t="shared" ref="U80:U91" si="8">SUM(N80:T80)</f>
        <v>0</v>
      </c>
      <c r="V80" s="242">
        <f t="shared" ref="V80:V90" si="9">SUM(U80,M80)</f>
        <v>0</v>
      </c>
    </row>
    <row r="81" spans="1:25" s="239" customFormat="1" ht="15.95" customHeight="1">
      <c r="A81" s="241">
        <v>7</v>
      </c>
      <c r="B81" s="201"/>
      <c r="C81" s="233"/>
      <c r="D81" s="233"/>
      <c r="E81" s="233"/>
      <c r="F81" s="233"/>
      <c r="G81" s="233"/>
      <c r="H81" s="233"/>
      <c r="I81" s="233"/>
      <c r="J81" s="233"/>
      <c r="K81" s="233"/>
      <c r="L81" s="233"/>
      <c r="M81" s="233">
        <f t="shared" si="7"/>
        <v>0</v>
      </c>
      <c r="N81" s="233"/>
      <c r="O81" s="233"/>
      <c r="P81" s="233"/>
      <c r="Q81" s="233"/>
      <c r="R81" s="233"/>
      <c r="S81" s="233"/>
      <c r="T81" s="233"/>
      <c r="U81" s="233">
        <f t="shared" si="8"/>
        <v>0</v>
      </c>
      <c r="V81" s="242">
        <f t="shared" si="9"/>
        <v>0</v>
      </c>
    </row>
    <row r="82" spans="1:25" s="239" customFormat="1" ht="15.95" customHeight="1">
      <c r="A82" s="241">
        <v>7</v>
      </c>
      <c r="B82" s="201"/>
      <c r="C82" s="233"/>
      <c r="D82" s="233"/>
      <c r="E82" s="233"/>
      <c r="F82" s="233"/>
      <c r="G82" s="233"/>
      <c r="H82" s="233"/>
      <c r="I82" s="233"/>
      <c r="J82" s="233"/>
      <c r="K82" s="233"/>
      <c r="L82" s="233"/>
      <c r="M82" s="233">
        <f t="shared" si="7"/>
        <v>0</v>
      </c>
      <c r="N82" s="233"/>
      <c r="O82" s="233"/>
      <c r="P82" s="233"/>
      <c r="Q82" s="233"/>
      <c r="R82" s="233"/>
      <c r="S82" s="233"/>
      <c r="T82" s="233"/>
      <c r="U82" s="233">
        <f t="shared" si="8"/>
        <v>0</v>
      </c>
      <c r="V82" s="242">
        <f t="shared" si="9"/>
        <v>0</v>
      </c>
      <c r="X82" s="239">
        <v>0</v>
      </c>
      <c r="Y82" s="239">
        <v>0</v>
      </c>
    </row>
    <row r="83" spans="1:25" s="239" customFormat="1" ht="15.95" customHeight="1">
      <c r="A83" s="241">
        <v>7</v>
      </c>
      <c r="B83" s="201"/>
      <c r="C83" s="233"/>
      <c r="D83" s="233"/>
      <c r="E83" s="233"/>
      <c r="F83" s="233"/>
      <c r="G83" s="233"/>
      <c r="H83" s="233"/>
      <c r="I83" s="233"/>
      <c r="J83" s="233"/>
      <c r="K83" s="233"/>
      <c r="L83" s="233"/>
      <c r="M83" s="233">
        <f t="shared" si="7"/>
        <v>0</v>
      </c>
      <c r="N83" s="233"/>
      <c r="O83" s="233"/>
      <c r="P83" s="233"/>
      <c r="Q83" s="233"/>
      <c r="R83" s="233"/>
      <c r="S83" s="233"/>
      <c r="T83" s="233"/>
      <c r="U83" s="233">
        <f t="shared" si="8"/>
        <v>0</v>
      </c>
      <c r="V83" s="242">
        <f t="shared" si="9"/>
        <v>0</v>
      </c>
    </row>
    <row r="84" spans="1:25" s="239" customFormat="1" ht="15.95" customHeight="1">
      <c r="A84" s="241">
        <v>7</v>
      </c>
      <c r="B84" s="201"/>
      <c r="C84" s="233"/>
      <c r="D84" s="233"/>
      <c r="E84" s="233"/>
      <c r="F84" s="233"/>
      <c r="G84" s="233"/>
      <c r="H84" s="233"/>
      <c r="I84" s="233"/>
      <c r="J84" s="233"/>
      <c r="K84" s="233"/>
      <c r="L84" s="233"/>
      <c r="M84" s="233">
        <f t="shared" si="7"/>
        <v>0</v>
      </c>
      <c r="N84" s="233"/>
      <c r="O84" s="233"/>
      <c r="P84" s="233"/>
      <c r="Q84" s="233"/>
      <c r="R84" s="233"/>
      <c r="S84" s="233"/>
      <c r="T84" s="233"/>
      <c r="U84" s="233">
        <f t="shared" si="8"/>
        <v>0</v>
      </c>
      <c r="V84" s="242">
        <f t="shared" si="9"/>
        <v>0</v>
      </c>
    </row>
    <row r="85" spans="1:25" s="239" customFormat="1" ht="15.95" customHeight="1">
      <c r="A85" s="241">
        <v>7</v>
      </c>
      <c r="B85" s="201"/>
      <c r="C85" s="233"/>
      <c r="D85" s="233"/>
      <c r="E85" s="233"/>
      <c r="F85" s="233"/>
      <c r="G85" s="233"/>
      <c r="H85" s="233"/>
      <c r="I85" s="233"/>
      <c r="J85" s="233"/>
      <c r="K85" s="233"/>
      <c r="L85" s="233"/>
      <c r="M85" s="233">
        <f t="shared" si="7"/>
        <v>0</v>
      </c>
      <c r="N85" s="233"/>
      <c r="O85" s="233"/>
      <c r="P85" s="233"/>
      <c r="Q85" s="233"/>
      <c r="R85" s="233"/>
      <c r="S85" s="233"/>
      <c r="T85" s="233"/>
      <c r="U85" s="233">
        <f t="shared" si="8"/>
        <v>0</v>
      </c>
      <c r="V85" s="242">
        <f t="shared" si="9"/>
        <v>0</v>
      </c>
    </row>
    <row r="86" spans="1:25" s="239" customFormat="1" ht="15.95" customHeight="1">
      <c r="A86" s="241">
        <v>7</v>
      </c>
      <c r="B86" s="201"/>
      <c r="C86" s="233"/>
      <c r="D86" s="233"/>
      <c r="E86" s="233"/>
      <c r="F86" s="233"/>
      <c r="G86" s="233"/>
      <c r="H86" s="233"/>
      <c r="I86" s="233"/>
      <c r="J86" s="233"/>
      <c r="K86" s="233"/>
      <c r="L86" s="233"/>
      <c r="M86" s="233">
        <f t="shared" si="7"/>
        <v>0</v>
      </c>
      <c r="N86" s="233"/>
      <c r="O86" s="233"/>
      <c r="P86" s="233"/>
      <c r="Q86" s="233"/>
      <c r="R86" s="233"/>
      <c r="S86" s="233"/>
      <c r="T86" s="233"/>
      <c r="U86" s="233">
        <f t="shared" si="8"/>
        <v>0</v>
      </c>
      <c r="V86" s="242">
        <f t="shared" si="9"/>
        <v>0</v>
      </c>
    </row>
    <row r="87" spans="1:25" s="239" customFormat="1" ht="15.95" customHeight="1">
      <c r="A87" s="241">
        <v>7</v>
      </c>
      <c r="B87" s="201"/>
      <c r="C87" s="233"/>
      <c r="D87" s="233"/>
      <c r="E87" s="233"/>
      <c r="F87" s="233"/>
      <c r="G87" s="233"/>
      <c r="H87" s="233"/>
      <c r="I87" s="233"/>
      <c r="J87" s="233"/>
      <c r="K87" s="233"/>
      <c r="L87" s="233"/>
      <c r="M87" s="233">
        <f t="shared" si="7"/>
        <v>0</v>
      </c>
      <c r="N87" s="233"/>
      <c r="O87" s="233"/>
      <c r="P87" s="233"/>
      <c r="Q87" s="233"/>
      <c r="R87" s="233"/>
      <c r="S87" s="233"/>
      <c r="T87" s="233"/>
      <c r="U87" s="233">
        <f t="shared" si="8"/>
        <v>0</v>
      </c>
      <c r="V87" s="242">
        <f t="shared" si="9"/>
        <v>0</v>
      </c>
    </row>
    <row r="88" spans="1:25" s="239" customFormat="1" ht="15.95" customHeight="1">
      <c r="A88" s="241">
        <v>7</v>
      </c>
      <c r="B88" s="201"/>
      <c r="C88" s="233"/>
      <c r="D88" s="233"/>
      <c r="E88" s="233"/>
      <c r="F88" s="233"/>
      <c r="G88" s="233"/>
      <c r="H88" s="233"/>
      <c r="I88" s="233"/>
      <c r="J88" s="233"/>
      <c r="K88" s="233"/>
      <c r="L88" s="233"/>
      <c r="M88" s="233">
        <f t="shared" si="7"/>
        <v>0</v>
      </c>
      <c r="N88" s="233"/>
      <c r="O88" s="233"/>
      <c r="P88" s="233"/>
      <c r="Q88" s="233"/>
      <c r="R88" s="233"/>
      <c r="S88" s="233"/>
      <c r="T88" s="233"/>
      <c r="U88" s="233">
        <f t="shared" si="8"/>
        <v>0</v>
      </c>
      <c r="V88" s="242">
        <f t="shared" si="9"/>
        <v>0</v>
      </c>
    </row>
    <row r="89" spans="1:25" s="239" customFormat="1" ht="15.95" customHeight="1">
      <c r="A89" s="241">
        <v>7</v>
      </c>
      <c r="B89" s="201"/>
      <c r="C89" s="233"/>
      <c r="D89" s="233"/>
      <c r="E89" s="233"/>
      <c r="F89" s="233"/>
      <c r="G89" s="233"/>
      <c r="H89" s="233"/>
      <c r="I89" s="233"/>
      <c r="J89" s="233"/>
      <c r="K89" s="233"/>
      <c r="L89" s="233"/>
      <c r="M89" s="233">
        <f t="shared" si="7"/>
        <v>0</v>
      </c>
      <c r="N89" s="233"/>
      <c r="O89" s="233"/>
      <c r="P89" s="233"/>
      <c r="Q89" s="233"/>
      <c r="R89" s="233"/>
      <c r="S89" s="233"/>
      <c r="T89" s="233"/>
      <c r="U89" s="233">
        <f t="shared" si="8"/>
        <v>0</v>
      </c>
      <c r="V89" s="242">
        <f t="shared" si="9"/>
        <v>0</v>
      </c>
    </row>
    <row r="90" spans="1:25" s="239" customFormat="1" ht="15.95" customHeight="1">
      <c r="A90" s="241">
        <v>7</v>
      </c>
      <c r="B90" s="207"/>
      <c r="C90" s="233"/>
      <c r="D90" s="233"/>
      <c r="E90" s="233"/>
      <c r="F90" s="233"/>
      <c r="G90" s="233"/>
      <c r="H90" s="233"/>
      <c r="I90" s="233"/>
      <c r="J90" s="233"/>
      <c r="K90" s="233"/>
      <c r="L90" s="233"/>
      <c r="M90" s="233">
        <f t="shared" si="7"/>
        <v>0</v>
      </c>
      <c r="N90" s="233"/>
      <c r="O90" s="233"/>
      <c r="P90" s="233"/>
      <c r="Q90" s="233"/>
      <c r="R90" s="233"/>
      <c r="S90" s="233"/>
      <c r="T90" s="233"/>
      <c r="U90" s="233">
        <f t="shared" si="8"/>
        <v>0</v>
      </c>
      <c r="V90" s="242">
        <f t="shared" si="9"/>
        <v>0</v>
      </c>
    </row>
    <row r="91" spans="1:25" s="239" customFormat="1" ht="15.95" customHeight="1">
      <c r="A91" s="241">
        <v>7</v>
      </c>
      <c r="B91" s="201"/>
      <c r="C91" s="233"/>
      <c r="D91" s="233"/>
      <c r="E91" s="233"/>
      <c r="F91" s="233"/>
      <c r="G91" s="233"/>
      <c r="H91" s="233"/>
      <c r="I91" s="233"/>
      <c r="J91" s="233"/>
      <c r="K91" s="233"/>
      <c r="L91" s="233"/>
      <c r="M91" s="233">
        <f t="shared" si="7"/>
        <v>0</v>
      </c>
      <c r="N91" s="233"/>
      <c r="O91" s="233"/>
      <c r="P91" s="233"/>
      <c r="Q91" s="233"/>
      <c r="R91" s="233"/>
      <c r="S91" s="233"/>
      <c r="T91" s="233"/>
      <c r="U91" s="233">
        <f t="shared" si="8"/>
        <v>0</v>
      </c>
      <c r="V91" s="242">
        <f t="shared" ref="V91:V103" si="10">SUM(U91,M91)</f>
        <v>0</v>
      </c>
    </row>
    <row r="92" spans="1:25" s="239" customFormat="1" ht="15.95" customHeight="1">
      <c r="A92" s="235">
        <v>8</v>
      </c>
      <c r="B92" s="236"/>
      <c r="C92" s="237"/>
      <c r="D92" s="237"/>
      <c r="E92" s="237"/>
      <c r="F92" s="237"/>
      <c r="G92" s="237"/>
      <c r="H92" s="237"/>
      <c r="I92" s="237"/>
      <c r="J92" s="237"/>
      <c r="K92" s="237"/>
      <c r="L92" s="237"/>
      <c r="M92" s="237">
        <f>SUM(C92:L92)</f>
        <v>0</v>
      </c>
      <c r="N92" s="237"/>
      <c r="O92" s="237"/>
      <c r="P92" s="237"/>
      <c r="Q92" s="237"/>
      <c r="R92" s="237"/>
      <c r="S92" s="237"/>
      <c r="T92" s="237"/>
      <c r="U92" s="237">
        <f>SUM(N92:T92)</f>
        <v>0</v>
      </c>
      <c r="V92" s="237">
        <f t="shared" si="10"/>
        <v>0</v>
      </c>
    </row>
    <row r="93" spans="1:25" s="239" customFormat="1" ht="15.95" customHeight="1">
      <c r="A93" s="235">
        <v>8</v>
      </c>
      <c r="B93" s="236"/>
      <c r="C93" s="237"/>
      <c r="D93" s="237"/>
      <c r="E93" s="237"/>
      <c r="F93" s="237"/>
      <c r="G93" s="237"/>
      <c r="H93" s="237"/>
      <c r="I93" s="237"/>
      <c r="J93" s="237"/>
      <c r="K93" s="237"/>
      <c r="L93" s="237"/>
      <c r="M93" s="237">
        <f t="shared" ref="M93:M139" si="11">SUM(C93:L93)</f>
        <v>0</v>
      </c>
      <c r="N93" s="237"/>
      <c r="O93" s="237"/>
      <c r="P93" s="237"/>
      <c r="Q93" s="237"/>
      <c r="R93" s="237"/>
      <c r="S93" s="237"/>
      <c r="T93" s="237"/>
      <c r="U93" s="237">
        <f t="shared" ref="U93:U139" si="12">SUM(N93:T93)</f>
        <v>0</v>
      </c>
      <c r="V93" s="237">
        <f t="shared" si="10"/>
        <v>0</v>
      </c>
    </row>
    <row r="94" spans="1:25" s="239" customFormat="1" ht="15.95" customHeight="1">
      <c r="A94" s="235">
        <v>8</v>
      </c>
      <c r="B94" s="236"/>
      <c r="C94" s="237"/>
      <c r="D94" s="237"/>
      <c r="E94" s="237"/>
      <c r="F94" s="237"/>
      <c r="G94" s="237"/>
      <c r="H94" s="237"/>
      <c r="I94" s="237"/>
      <c r="J94" s="237"/>
      <c r="K94" s="237"/>
      <c r="L94" s="237"/>
      <c r="M94" s="237">
        <f t="shared" si="11"/>
        <v>0</v>
      </c>
      <c r="N94" s="237"/>
      <c r="O94" s="237"/>
      <c r="P94" s="237"/>
      <c r="Q94" s="237"/>
      <c r="R94" s="237"/>
      <c r="S94" s="237"/>
      <c r="T94" s="237"/>
      <c r="U94" s="237">
        <f t="shared" si="12"/>
        <v>0</v>
      </c>
      <c r="V94" s="237">
        <f t="shared" si="10"/>
        <v>0</v>
      </c>
    </row>
    <row r="95" spans="1:25" s="239" customFormat="1" ht="15.95" customHeight="1">
      <c r="A95" s="235">
        <v>8</v>
      </c>
      <c r="B95" s="236"/>
      <c r="C95" s="237"/>
      <c r="D95" s="237"/>
      <c r="E95" s="237"/>
      <c r="F95" s="237"/>
      <c r="G95" s="237"/>
      <c r="H95" s="237"/>
      <c r="I95" s="237"/>
      <c r="J95" s="237"/>
      <c r="K95" s="237"/>
      <c r="L95" s="237"/>
      <c r="M95" s="237">
        <f t="shared" si="11"/>
        <v>0</v>
      </c>
      <c r="N95" s="237"/>
      <c r="O95" s="237"/>
      <c r="P95" s="237"/>
      <c r="Q95" s="237"/>
      <c r="R95" s="237"/>
      <c r="S95" s="237"/>
      <c r="T95" s="237"/>
      <c r="U95" s="237">
        <f t="shared" si="12"/>
        <v>0</v>
      </c>
      <c r="V95" s="237">
        <f t="shared" si="10"/>
        <v>0</v>
      </c>
    </row>
    <row r="96" spans="1:25" s="239" customFormat="1" ht="15.95" customHeight="1">
      <c r="A96" s="235">
        <v>8</v>
      </c>
      <c r="B96" s="236"/>
      <c r="C96" s="237"/>
      <c r="D96" s="237"/>
      <c r="E96" s="237"/>
      <c r="F96" s="237"/>
      <c r="G96" s="237"/>
      <c r="H96" s="237"/>
      <c r="I96" s="237"/>
      <c r="J96" s="237"/>
      <c r="K96" s="237"/>
      <c r="L96" s="237"/>
      <c r="M96" s="237">
        <f t="shared" si="11"/>
        <v>0</v>
      </c>
      <c r="N96" s="237"/>
      <c r="O96" s="237"/>
      <c r="P96" s="237"/>
      <c r="Q96" s="237"/>
      <c r="R96" s="237"/>
      <c r="S96" s="237"/>
      <c r="T96" s="237"/>
      <c r="U96" s="237">
        <f t="shared" si="12"/>
        <v>0</v>
      </c>
      <c r="V96" s="237">
        <f t="shared" si="10"/>
        <v>0</v>
      </c>
    </row>
    <row r="97" spans="1:22" s="239" customFormat="1" ht="15.95" customHeight="1">
      <c r="A97" s="235">
        <v>8</v>
      </c>
      <c r="B97" s="236"/>
      <c r="C97" s="237"/>
      <c r="D97" s="237"/>
      <c r="E97" s="237"/>
      <c r="F97" s="237"/>
      <c r="G97" s="237"/>
      <c r="H97" s="237"/>
      <c r="I97" s="237"/>
      <c r="J97" s="237"/>
      <c r="K97" s="237"/>
      <c r="L97" s="237"/>
      <c r="M97" s="237">
        <f t="shared" si="11"/>
        <v>0</v>
      </c>
      <c r="N97" s="237"/>
      <c r="O97" s="237"/>
      <c r="P97" s="237"/>
      <c r="Q97" s="237"/>
      <c r="R97" s="237"/>
      <c r="S97" s="237"/>
      <c r="T97" s="237"/>
      <c r="U97" s="237">
        <f t="shared" si="12"/>
        <v>0</v>
      </c>
      <c r="V97" s="237">
        <f t="shared" si="10"/>
        <v>0</v>
      </c>
    </row>
    <row r="98" spans="1:22" s="239" customFormat="1" ht="15.95" customHeight="1">
      <c r="A98" s="235">
        <v>8</v>
      </c>
      <c r="B98" s="236"/>
      <c r="C98" s="237"/>
      <c r="D98" s="237"/>
      <c r="E98" s="237"/>
      <c r="F98" s="237"/>
      <c r="G98" s="237"/>
      <c r="H98" s="237"/>
      <c r="I98" s="237"/>
      <c r="J98" s="237"/>
      <c r="K98" s="237"/>
      <c r="L98" s="237"/>
      <c r="M98" s="237">
        <f t="shared" si="11"/>
        <v>0</v>
      </c>
      <c r="N98" s="237"/>
      <c r="O98" s="237"/>
      <c r="P98" s="237"/>
      <c r="Q98" s="237"/>
      <c r="R98" s="237"/>
      <c r="S98" s="237"/>
      <c r="T98" s="237"/>
      <c r="U98" s="237">
        <f t="shared" si="12"/>
        <v>0</v>
      </c>
      <c r="V98" s="237">
        <f t="shared" si="10"/>
        <v>0</v>
      </c>
    </row>
    <row r="99" spans="1:22" s="239" customFormat="1" ht="15.95" customHeight="1">
      <c r="A99" s="235">
        <v>8</v>
      </c>
      <c r="B99" s="236"/>
      <c r="C99" s="237"/>
      <c r="D99" s="237"/>
      <c r="E99" s="237"/>
      <c r="F99" s="237"/>
      <c r="G99" s="237"/>
      <c r="H99" s="237"/>
      <c r="I99" s="237"/>
      <c r="J99" s="237"/>
      <c r="K99" s="237"/>
      <c r="L99" s="237"/>
      <c r="M99" s="237">
        <f t="shared" si="11"/>
        <v>0</v>
      </c>
      <c r="N99" s="237"/>
      <c r="O99" s="237"/>
      <c r="P99" s="237"/>
      <c r="Q99" s="237"/>
      <c r="R99" s="237"/>
      <c r="S99" s="237"/>
      <c r="T99" s="237"/>
      <c r="U99" s="237">
        <f t="shared" si="12"/>
        <v>0</v>
      </c>
      <c r="V99" s="237">
        <f t="shared" si="10"/>
        <v>0</v>
      </c>
    </row>
    <row r="100" spans="1:22" s="239" customFormat="1" ht="15.95" customHeight="1">
      <c r="A100" s="235">
        <v>8</v>
      </c>
      <c r="B100" s="236"/>
      <c r="C100" s="237"/>
      <c r="D100" s="237"/>
      <c r="E100" s="237"/>
      <c r="F100" s="237"/>
      <c r="G100" s="237"/>
      <c r="H100" s="237"/>
      <c r="I100" s="237"/>
      <c r="J100" s="237"/>
      <c r="K100" s="237"/>
      <c r="L100" s="237"/>
      <c r="M100" s="237">
        <f t="shared" si="11"/>
        <v>0</v>
      </c>
      <c r="N100" s="237"/>
      <c r="O100" s="237"/>
      <c r="P100" s="237"/>
      <c r="Q100" s="237"/>
      <c r="R100" s="237"/>
      <c r="S100" s="237"/>
      <c r="T100" s="237"/>
      <c r="U100" s="237">
        <f t="shared" si="12"/>
        <v>0</v>
      </c>
      <c r="V100" s="237">
        <f t="shared" si="10"/>
        <v>0</v>
      </c>
    </row>
    <row r="101" spans="1:22" s="239" customFormat="1" ht="15.95" customHeight="1">
      <c r="A101" s="235">
        <v>8</v>
      </c>
      <c r="B101" s="236"/>
      <c r="C101" s="237"/>
      <c r="D101" s="237"/>
      <c r="E101" s="237"/>
      <c r="F101" s="237"/>
      <c r="G101" s="237"/>
      <c r="H101" s="237"/>
      <c r="I101" s="237"/>
      <c r="J101" s="237"/>
      <c r="K101" s="237"/>
      <c r="L101" s="237"/>
      <c r="M101" s="237">
        <f t="shared" si="11"/>
        <v>0</v>
      </c>
      <c r="N101" s="237"/>
      <c r="O101" s="237"/>
      <c r="P101" s="237"/>
      <c r="Q101" s="237"/>
      <c r="R101" s="237"/>
      <c r="S101" s="237"/>
      <c r="T101" s="237"/>
      <c r="U101" s="237">
        <f t="shared" si="12"/>
        <v>0</v>
      </c>
      <c r="V101" s="237">
        <f t="shared" si="10"/>
        <v>0</v>
      </c>
    </row>
    <row r="102" spans="1:22" s="197" customFormat="1" ht="15.95" customHeight="1">
      <c r="A102" s="235">
        <v>8</v>
      </c>
      <c r="B102" s="240"/>
      <c r="C102" s="237"/>
      <c r="D102" s="237"/>
      <c r="E102" s="237"/>
      <c r="F102" s="237"/>
      <c r="G102" s="237"/>
      <c r="H102" s="237"/>
      <c r="I102" s="237"/>
      <c r="J102" s="237"/>
      <c r="K102" s="237"/>
      <c r="L102" s="237"/>
      <c r="M102" s="237">
        <f t="shared" si="11"/>
        <v>0</v>
      </c>
      <c r="N102" s="237"/>
      <c r="O102" s="237"/>
      <c r="P102" s="237"/>
      <c r="Q102" s="237"/>
      <c r="R102" s="237"/>
      <c r="S102" s="237"/>
      <c r="T102" s="237"/>
      <c r="U102" s="237">
        <f t="shared" si="12"/>
        <v>0</v>
      </c>
      <c r="V102" s="237">
        <f t="shared" si="10"/>
        <v>0</v>
      </c>
    </row>
    <row r="103" spans="1:22" s="197" customFormat="1" ht="15.95" customHeight="1">
      <c r="A103" s="235">
        <v>8</v>
      </c>
      <c r="B103" s="236"/>
      <c r="C103" s="237"/>
      <c r="D103" s="237"/>
      <c r="E103" s="237"/>
      <c r="F103" s="237"/>
      <c r="G103" s="237"/>
      <c r="H103" s="237"/>
      <c r="I103" s="237"/>
      <c r="J103" s="237"/>
      <c r="K103" s="237"/>
      <c r="L103" s="237"/>
      <c r="M103" s="237">
        <f t="shared" si="11"/>
        <v>0</v>
      </c>
      <c r="N103" s="237"/>
      <c r="O103" s="237"/>
      <c r="P103" s="237"/>
      <c r="Q103" s="237"/>
      <c r="R103" s="237"/>
      <c r="S103" s="237"/>
      <c r="T103" s="237"/>
      <c r="U103" s="237">
        <f t="shared" si="12"/>
        <v>0</v>
      </c>
      <c r="V103" s="237">
        <f t="shared" si="10"/>
        <v>0</v>
      </c>
    </row>
    <row r="104" spans="1:22" s="197" customFormat="1" ht="15.95" customHeight="1">
      <c r="A104" s="241">
        <v>9</v>
      </c>
      <c r="B104" s="201"/>
      <c r="C104" s="233"/>
      <c r="D104" s="233"/>
      <c r="E104" s="233"/>
      <c r="F104" s="233"/>
      <c r="G104" s="233"/>
      <c r="H104" s="233"/>
      <c r="I104" s="233"/>
      <c r="J104" s="233"/>
      <c r="K104" s="233"/>
      <c r="L104" s="233"/>
      <c r="M104" s="233">
        <f t="shared" si="11"/>
        <v>0</v>
      </c>
      <c r="N104" s="233"/>
      <c r="O104" s="233"/>
      <c r="P104" s="233"/>
      <c r="Q104" s="233"/>
      <c r="R104" s="233"/>
      <c r="S104" s="233"/>
      <c r="T104" s="233"/>
      <c r="U104" s="233">
        <f t="shared" si="12"/>
        <v>0</v>
      </c>
      <c r="V104" s="233">
        <f t="shared" ref="V104:V139" si="13">SUM(U104,M104)</f>
        <v>0</v>
      </c>
    </row>
    <row r="105" spans="1:22" s="197" customFormat="1" ht="15.95" customHeight="1">
      <c r="A105" s="241">
        <v>9</v>
      </c>
      <c r="B105" s="201"/>
      <c r="C105" s="233"/>
      <c r="D105" s="233"/>
      <c r="E105" s="233"/>
      <c r="F105" s="233"/>
      <c r="G105" s="233"/>
      <c r="H105" s="233"/>
      <c r="I105" s="233"/>
      <c r="J105" s="233"/>
      <c r="K105" s="233"/>
      <c r="L105" s="233"/>
      <c r="M105" s="233">
        <f t="shared" si="11"/>
        <v>0</v>
      </c>
      <c r="N105" s="233"/>
      <c r="O105" s="233"/>
      <c r="P105" s="233"/>
      <c r="Q105" s="233"/>
      <c r="R105" s="233"/>
      <c r="S105" s="233"/>
      <c r="T105" s="233"/>
      <c r="U105" s="233">
        <f t="shared" si="12"/>
        <v>0</v>
      </c>
      <c r="V105" s="233">
        <f t="shared" si="13"/>
        <v>0</v>
      </c>
    </row>
    <row r="106" spans="1:22" s="197" customFormat="1" ht="15.95" customHeight="1">
      <c r="A106" s="241">
        <v>9</v>
      </c>
      <c r="B106" s="201"/>
      <c r="C106" s="233"/>
      <c r="D106" s="233"/>
      <c r="E106" s="233"/>
      <c r="F106" s="233"/>
      <c r="G106" s="233"/>
      <c r="H106" s="233"/>
      <c r="I106" s="233"/>
      <c r="J106" s="233"/>
      <c r="K106" s="233"/>
      <c r="L106" s="233"/>
      <c r="M106" s="233">
        <f t="shared" si="11"/>
        <v>0</v>
      </c>
      <c r="N106" s="233"/>
      <c r="O106" s="233"/>
      <c r="P106" s="233"/>
      <c r="Q106" s="233"/>
      <c r="R106" s="233"/>
      <c r="S106" s="233"/>
      <c r="T106" s="233"/>
      <c r="U106" s="233">
        <f t="shared" si="12"/>
        <v>0</v>
      </c>
      <c r="V106" s="233">
        <f t="shared" si="13"/>
        <v>0</v>
      </c>
    </row>
    <row r="107" spans="1:22" s="197" customFormat="1" ht="15.95" customHeight="1">
      <c r="A107" s="241">
        <v>9</v>
      </c>
      <c r="B107" s="201"/>
      <c r="C107" s="233"/>
      <c r="D107" s="233"/>
      <c r="E107" s="233"/>
      <c r="F107" s="233"/>
      <c r="G107" s="233"/>
      <c r="H107" s="233"/>
      <c r="I107" s="233"/>
      <c r="J107" s="233"/>
      <c r="K107" s="233"/>
      <c r="L107" s="233"/>
      <c r="M107" s="233">
        <f t="shared" si="11"/>
        <v>0</v>
      </c>
      <c r="N107" s="233"/>
      <c r="O107" s="233"/>
      <c r="P107" s="233"/>
      <c r="Q107" s="233"/>
      <c r="R107" s="233"/>
      <c r="S107" s="233"/>
      <c r="T107" s="233"/>
      <c r="U107" s="233">
        <f t="shared" si="12"/>
        <v>0</v>
      </c>
      <c r="V107" s="233">
        <f t="shared" si="13"/>
        <v>0</v>
      </c>
    </row>
    <row r="108" spans="1:22" s="197" customFormat="1" ht="15.95" customHeight="1">
      <c r="A108" s="241">
        <v>9</v>
      </c>
      <c r="B108" s="201"/>
      <c r="C108" s="233"/>
      <c r="D108" s="233"/>
      <c r="E108" s="233"/>
      <c r="F108" s="233"/>
      <c r="G108" s="233"/>
      <c r="H108" s="233"/>
      <c r="I108" s="233"/>
      <c r="J108" s="233"/>
      <c r="K108" s="233"/>
      <c r="L108" s="233"/>
      <c r="M108" s="233">
        <f t="shared" si="11"/>
        <v>0</v>
      </c>
      <c r="N108" s="233"/>
      <c r="O108" s="233"/>
      <c r="P108" s="233"/>
      <c r="Q108" s="233"/>
      <c r="R108" s="233"/>
      <c r="S108" s="233"/>
      <c r="T108" s="233"/>
      <c r="U108" s="233">
        <f t="shared" si="12"/>
        <v>0</v>
      </c>
      <c r="V108" s="233">
        <f t="shared" si="13"/>
        <v>0</v>
      </c>
    </row>
    <row r="109" spans="1:22" s="197" customFormat="1" ht="15.95" customHeight="1">
      <c r="A109" s="241">
        <v>9</v>
      </c>
      <c r="B109" s="201"/>
      <c r="C109" s="233"/>
      <c r="D109" s="233"/>
      <c r="E109" s="233"/>
      <c r="F109" s="233"/>
      <c r="G109" s="233"/>
      <c r="H109" s="233"/>
      <c r="I109" s="233"/>
      <c r="J109" s="233"/>
      <c r="K109" s="233"/>
      <c r="L109" s="233"/>
      <c r="M109" s="233">
        <f t="shared" si="11"/>
        <v>0</v>
      </c>
      <c r="N109" s="233"/>
      <c r="O109" s="233"/>
      <c r="P109" s="233"/>
      <c r="Q109" s="233"/>
      <c r="R109" s="233"/>
      <c r="S109" s="233"/>
      <c r="T109" s="233"/>
      <c r="U109" s="233">
        <f t="shared" si="12"/>
        <v>0</v>
      </c>
      <c r="V109" s="233">
        <f t="shared" si="13"/>
        <v>0</v>
      </c>
    </row>
    <row r="110" spans="1:22" s="197" customFormat="1" ht="15.95" customHeight="1">
      <c r="A110" s="241">
        <v>9</v>
      </c>
      <c r="B110" s="201"/>
      <c r="C110" s="233"/>
      <c r="D110" s="233"/>
      <c r="E110" s="233"/>
      <c r="F110" s="233"/>
      <c r="G110" s="233"/>
      <c r="H110" s="233"/>
      <c r="I110" s="233"/>
      <c r="J110" s="233"/>
      <c r="K110" s="233"/>
      <c r="L110" s="233"/>
      <c r="M110" s="233">
        <f t="shared" si="11"/>
        <v>0</v>
      </c>
      <c r="N110" s="233"/>
      <c r="O110" s="233"/>
      <c r="P110" s="233"/>
      <c r="Q110" s="233"/>
      <c r="R110" s="233"/>
      <c r="S110" s="233"/>
      <c r="T110" s="233"/>
      <c r="U110" s="233">
        <f t="shared" si="12"/>
        <v>0</v>
      </c>
      <c r="V110" s="233">
        <f t="shared" si="13"/>
        <v>0</v>
      </c>
    </row>
    <row r="111" spans="1:22" s="197" customFormat="1" ht="15.95" customHeight="1">
      <c r="A111" s="241">
        <v>9</v>
      </c>
      <c r="B111" s="201"/>
      <c r="C111" s="233"/>
      <c r="D111" s="233"/>
      <c r="E111" s="233"/>
      <c r="F111" s="233"/>
      <c r="G111" s="233"/>
      <c r="H111" s="233"/>
      <c r="I111" s="233"/>
      <c r="J111" s="233"/>
      <c r="K111" s="233"/>
      <c r="L111" s="233"/>
      <c r="M111" s="233">
        <f t="shared" si="11"/>
        <v>0</v>
      </c>
      <c r="N111" s="233"/>
      <c r="O111" s="233"/>
      <c r="P111" s="233"/>
      <c r="Q111" s="233"/>
      <c r="R111" s="233"/>
      <c r="S111" s="233"/>
      <c r="T111" s="233"/>
      <c r="U111" s="233">
        <f t="shared" si="12"/>
        <v>0</v>
      </c>
      <c r="V111" s="233">
        <f t="shared" si="13"/>
        <v>0</v>
      </c>
    </row>
    <row r="112" spans="1:22" s="197" customFormat="1" ht="15.95" customHeight="1">
      <c r="A112" s="241">
        <v>9</v>
      </c>
      <c r="B112" s="201"/>
      <c r="C112" s="233"/>
      <c r="D112" s="233"/>
      <c r="E112" s="233"/>
      <c r="F112" s="233"/>
      <c r="G112" s="233"/>
      <c r="H112" s="233"/>
      <c r="I112" s="233"/>
      <c r="J112" s="233"/>
      <c r="K112" s="233"/>
      <c r="L112" s="233"/>
      <c r="M112" s="233">
        <f t="shared" si="11"/>
        <v>0</v>
      </c>
      <c r="N112" s="233"/>
      <c r="O112" s="233"/>
      <c r="P112" s="233"/>
      <c r="Q112" s="233"/>
      <c r="R112" s="233"/>
      <c r="S112" s="233"/>
      <c r="T112" s="233"/>
      <c r="U112" s="233">
        <f t="shared" si="12"/>
        <v>0</v>
      </c>
      <c r="V112" s="233">
        <f t="shared" si="13"/>
        <v>0</v>
      </c>
    </row>
    <row r="113" spans="1:22" s="197" customFormat="1" ht="15.95" customHeight="1">
      <c r="A113" s="241">
        <v>9</v>
      </c>
      <c r="B113" s="201"/>
      <c r="C113" s="233"/>
      <c r="D113" s="233"/>
      <c r="E113" s="233"/>
      <c r="F113" s="233"/>
      <c r="G113" s="233"/>
      <c r="H113" s="233"/>
      <c r="I113" s="233"/>
      <c r="J113" s="233"/>
      <c r="K113" s="233"/>
      <c r="L113" s="233"/>
      <c r="M113" s="233">
        <f t="shared" si="11"/>
        <v>0</v>
      </c>
      <c r="N113" s="233"/>
      <c r="O113" s="233"/>
      <c r="P113" s="233"/>
      <c r="Q113" s="233"/>
      <c r="R113" s="233"/>
      <c r="S113" s="233"/>
      <c r="T113" s="233"/>
      <c r="U113" s="233">
        <f t="shared" si="12"/>
        <v>0</v>
      </c>
      <c r="V113" s="233">
        <f t="shared" si="13"/>
        <v>0</v>
      </c>
    </row>
    <row r="114" spans="1:22" s="239" customFormat="1" ht="15.95" customHeight="1">
      <c r="A114" s="241">
        <v>9</v>
      </c>
      <c r="B114" s="207"/>
      <c r="C114" s="233"/>
      <c r="D114" s="233"/>
      <c r="E114" s="233"/>
      <c r="F114" s="233"/>
      <c r="G114" s="233"/>
      <c r="H114" s="233"/>
      <c r="I114" s="233"/>
      <c r="J114" s="233"/>
      <c r="K114" s="233"/>
      <c r="L114" s="233"/>
      <c r="M114" s="233">
        <f t="shared" si="11"/>
        <v>0</v>
      </c>
      <c r="N114" s="233"/>
      <c r="O114" s="233"/>
      <c r="P114" s="233"/>
      <c r="Q114" s="233"/>
      <c r="R114" s="233"/>
      <c r="S114" s="233"/>
      <c r="T114" s="233"/>
      <c r="U114" s="233">
        <f t="shared" si="12"/>
        <v>0</v>
      </c>
      <c r="V114" s="233">
        <f t="shared" si="13"/>
        <v>0</v>
      </c>
    </row>
    <row r="115" spans="1:22" s="239" customFormat="1" ht="15.95" customHeight="1">
      <c r="A115" s="241">
        <v>9</v>
      </c>
      <c r="B115" s="201"/>
      <c r="C115" s="233"/>
      <c r="D115" s="233"/>
      <c r="E115" s="233"/>
      <c r="F115" s="233"/>
      <c r="G115" s="233"/>
      <c r="H115" s="233"/>
      <c r="I115" s="233"/>
      <c r="J115" s="233"/>
      <c r="K115" s="233"/>
      <c r="L115" s="233"/>
      <c r="M115" s="233">
        <f t="shared" si="11"/>
        <v>0</v>
      </c>
      <c r="N115" s="233"/>
      <c r="O115" s="233"/>
      <c r="P115" s="233"/>
      <c r="Q115" s="233"/>
      <c r="R115" s="233"/>
      <c r="S115" s="233"/>
      <c r="T115" s="233"/>
      <c r="U115" s="233">
        <f t="shared" si="12"/>
        <v>0</v>
      </c>
      <c r="V115" s="233">
        <f t="shared" si="13"/>
        <v>0</v>
      </c>
    </row>
    <row r="116" spans="1:22" s="239" customFormat="1" ht="15.95" customHeight="1">
      <c r="A116" s="235">
        <v>10</v>
      </c>
      <c r="B116" s="236"/>
      <c r="C116" s="237"/>
      <c r="D116" s="237"/>
      <c r="E116" s="237"/>
      <c r="F116" s="237"/>
      <c r="G116" s="237"/>
      <c r="H116" s="237"/>
      <c r="I116" s="237"/>
      <c r="J116" s="237"/>
      <c r="K116" s="237"/>
      <c r="L116" s="237"/>
      <c r="M116" s="237">
        <f t="shared" si="11"/>
        <v>0</v>
      </c>
      <c r="N116" s="237"/>
      <c r="O116" s="237"/>
      <c r="P116" s="237"/>
      <c r="Q116" s="237"/>
      <c r="R116" s="237"/>
      <c r="S116" s="237"/>
      <c r="T116" s="237"/>
      <c r="U116" s="237">
        <f t="shared" si="12"/>
        <v>0</v>
      </c>
      <c r="V116" s="237">
        <f t="shared" si="13"/>
        <v>0</v>
      </c>
    </row>
    <row r="117" spans="1:22" s="239" customFormat="1" ht="15.95" customHeight="1">
      <c r="A117" s="235">
        <v>10</v>
      </c>
      <c r="B117" s="236"/>
      <c r="C117" s="237"/>
      <c r="D117" s="237"/>
      <c r="E117" s="237"/>
      <c r="F117" s="237"/>
      <c r="G117" s="237"/>
      <c r="H117" s="237"/>
      <c r="I117" s="237"/>
      <c r="J117" s="237"/>
      <c r="K117" s="237"/>
      <c r="L117" s="237"/>
      <c r="M117" s="237">
        <f t="shared" si="11"/>
        <v>0</v>
      </c>
      <c r="N117" s="237"/>
      <c r="O117" s="237"/>
      <c r="P117" s="237"/>
      <c r="Q117" s="237"/>
      <c r="R117" s="237"/>
      <c r="S117" s="237"/>
      <c r="T117" s="237"/>
      <c r="U117" s="237">
        <f t="shared" si="12"/>
        <v>0</v>
      </c>
      <c r="V117" s="237">
        <f t="shared" si="13"/>
        <v>0</v>
      </c>
    </row>
    <row r="118" spans="1:22" s="239" customFormat="1" ht="15.95" customHeight="1">
      <c r="A118" s="235">
        <v>10</v>
      </c>
      <c r="B118" s="236"/>
      <c r="C118" s="237"/>
      <c r="D118" s="237"/>
      <c r="E118" s="237"/>
      <c r="F118" s="237"/>
      <c r="G118" s="237"/>
      <c r="H118" s="237"/>
      <c r="I118" s="237"/>
      <c r="J118" s="237"/>
      <c r="K118" s="237"/>
      <c r="L118" s="237"/>
      <c r="M118" s="237">
        <f t="shared" si="11"/>
        <v>0</v>
      </c>
      <c r="N118" s="237"/>
      <c r="O118" s="237"/>
      <c r="P118" s="237"/>
      <c r="Q118" s="237"/>
      <c r="R118" s="237"/>
      <c r="S118" s="237"/>
      <c r="T118" s="237"/>
      <c r="U118" s="237">
        <f t="shared" si="12"/>
        <v>0</v>
      </c>
      <c r="V118" s="237">
        <f t="shared" si="13"/>
        <v>0</v>
      </c>
    </row>
    <row r="119" spans="1:22" s="239" customFormat="1" ht="15.95" customHeight="1">
      <c r="A119" s="235">
        <v>10</v>
      </c>
      <c r="B119" s="236"/>
      <c r="C119" s="237"/>
      <c r="D119" s="237"/>
      <c r="E119" s="237"/>
      <c r="F119" s="237"/>
      <c r="G119" s="237"/>
      <c r="H119" s="237"/>
      <c r="I119" s="237"/>
      <c r="J119" s="237"/>
      <c r="K119" s="237"/>
      <c r="L119" s="237"/>
      <c r="M119" s="237">
        <f t="shared" si="11"/>
        <v>0</v>
      </c>
      <c r="N119" s="237"/>
      <c r="O119" s="237"/>
      <c r="P119" s="237"/>
      <c r="Q119" s="237"/>
      <c r="R119" s="237"/>
      <c r="S119" s="237"/>
      <c r="T119" s="237"/>
      <c r="U119" s="237">
        <f t="shared" si="12"/>
        <v>0</v>
      </c>
      <c r="V119" s="237">
        <f t="shared" si="13"/>
        <v>0</v>
      </c>
    </row>
    <row r="120" spans="1:22" s="239" customFormat="1" ht="15.95" customHeight="1">
      <c r="A120" s="235">
        <v>10</v>
      </c>
      <c r="B120" s="236"/>
      <c r="C120" s="237"/>
      <c r="D120" s="237"/>
      <c r="E120" s="237"/>
      <c r="F120" s="237"/>
      <c r="G120" s="237"/>
      <c r="H120" s="237"/>
      <c r="I120" s="237"/>
      <c r="J120" s="237"/>
      <c r="K120" s="237"/>
      <c r="L120" s="237"/>
      <c r="M120" s="237">
        <f t="shared" si="11"/>
        <v>0</v>
      </c>
      <c r="N120" s="237"/>
      <c r="O120" s="237"/>
      <c r="P120" s="237"/>
      <c r="Q120" s="237"/>
      <c r="R120" s="237"/>
      <c r="S120" s="237"/>
      <c r="T120" s="237"/>
      <c r="U120" s="237">
        <f t="shared" si="12"/>
        <v>0</v>
      </c>
      <c r="V120" s="237">
        <f t="shared" si="13"/>
        <v>0</v>
      </c>
    </row>
    <row r="121" spans="1:22" s="239" customFormat="1" ht="15.95" customHeight="1">
      <c r="A121" s="235">
        <v>10</v>
      </c>
      <c r="B121" s="236"/>
      <c r="C121" s="237"/>
      <c r="D121" s="237"/>
      <c r="E121" s="237"/>
      <c r="F121" s="237"/>
      <c r="G121" s="237"/>
      <c r="H121" s="237"/>
      <c r="I121" s="237"/>
      <c r="J121" s="237"/>
      <c r="K121" s="237"/>
      <c r="L121" s="237"/>
      <c r="M121" s="237">
        <f t="shared" si="11"/>
        <v>0</v>
      </c>
      <c r="N121" s="237"/>
      <c r="O121" s="237"/>
      <c r="P121" s="237"/>
      <c r="Q121" s="237"/>
      <c r="R121" s="237"/>
      <c r="S121" s="237"/>
      <c r="T121" s="237"/>
      <c r="U121" s="237">
        <f t="shared" si="12"/>
        <v>0</v>
      </c>
      <c r="V121" s="237">
        <f t="shared" si="13"/>
        <v>0</v>
      </c>
    </row>
    <row r="122" spans="1:22" s="239" customFormat="1" ht="15.95" customHeight="1">
      <c r="A122" s="235">
        <v>10</v>
      </c>
      <c r="B122" s="236"/>
      <c r="C122" s="237"/>
      <c r="D122" s="237"/>
      <c r="E122" s="237"/>
      <c r="F122" s="237"/>
      <c r="G122" s="237"/>
      <c r="H122" s="237"/>
      <c r="I122" s="237"/>
      <c r="J122" s="237"/>
      <c r="K122" s="237"/>
      <c r="L122" s="237"/>
      <c r="M122" s="237">
        <f t="shared" si="11"/>
        <v>0</v>
      </c>
      <c r="N122" s="237"/>
      <c r="O122" s="237"/>
      <c r="P122" s="237"/>
      <c r="Q122" s="237"/>
      <c r="R122" s="237"/>
      <c r="S122" s="237"/>
      <c r="T122" s="237"/>
      <c r="U122" s="237">
        <f t="shared" si="12"/>
        <v>0</v>
      </c>
      <c r="V122" s="237">
        <f t="shared" si="13"/>
        <v>0</v>
      </c>
    </row>
    <row r="123" spans="1:22" s="239" customFormat="1" ht="15.95" customHeight="1">
      <c r="A123" s="235">
        <v>10</v>
      </c>
      <c r="B123" s="236"/>
      <c r="C123" s="237"/>
      <c r="D123" s="237"/>
      <c r="E123" s="237"/>
      <c r="F123" s="237"/>
      <c r="G123" s="237"/>
      <c r="H123" s="237"/>
      <c r="I123" s="237"/>
      <c r="J123" s="237"/>
      <c r="K123" s="237"/>
      <c r="L123" s="237"/>
      <c r="M123" s="237">
        <f t="shared" si="11"/>
        <v>0</v>
      </c>
      <c r="N123" s="237"/>
      <c r="O123" s="237"/>
      <c r="P123" s="237"/>
      <c r="Q123" s="237"/>
      <c r="R123" s="237"/>
      <c r="S123" s="237"/>
      <c r="T123" s="237"/>
      <c r="U123" s="237">
        <f t="shared" si="12"/>
        <v>0</v>
      </c>
      <c r="V123" s="237">
        <f t="shared" si="13"/>
        <v>0</v>
      </c>
    </row>
    <row r="124" spans="1:22" s="239" customFormat="1" ht="15.95" customHeight="1">
      <c r="A124" s="235">
        <v>10</v>
      </c>
      <c r="B124" s="236"/>
      <c r="C124" s="237"/>
      <c r="D124" s="237"/>
      <c r="E124" s="237"/>
      <c r="F124" s="237"/>
      <c r="G124" s="237"/>
      <c r="H124" s="237"/>
      <c r="I124" s="237"/>
      <c r="J124" s="237"/>
      <c r="K124" s="237"/>
      <c r="L124" s="237"/>
      <c r="M124" s="237">
        <f t="shared" si="11"/>
        <v>0</v>
      </c>
      <c r="N124" s="237"/>
      <c r="O124" s="237"/>
      <c r="P124" s="237"/>
      <c r="Q124" s="237"/>
      <c r="R124" s="237"/>
      <c r="S124" s="237"/>
      <c r="T124" s="237"/>
      <c r="U124" s="237">
        <f t="shared" si="12"/>
        <v>0</v>
      </c>
      <c r="V124" s="237">
        <f t="shared" si="13"/>
        <v>0</v>
      </c>
    </row>
    <row r="125" spans="1:22" s="197" customFormat="1" ht="15.95" customHeight="1">
      <c r="A125" s="235">
        <v>10</v>
      </c>
      <c r="B125" s="236"/>
      <c r="C125" s="237"/>
      <c r="D125" s="237"/>
      <c r="E125" s="237"/>
      <c r="F125" s="237"/>
      <c r="G125" s="237"/>
      <c r="H125" s="237"/>
      <c r="I125" s="237"/>
      <c r="J125" s="237"/>
      <c r="K125" s="237"/>
      <c r="L125" s="237"/>
      <c r="M125" s="237">
        <f t="shared" si="11"/>
        <v>0</v>
      </c>
      <c r="N125" s="237"/>
      <c r="O125" s="237"/>
      <c r="P125" s="237"/>
      <c r="Q125" s="237"/>
      <c r="R125" s="237"/>
      <c r="S125" s="237"/>
      <c r="T125" s="237"/>
      <c r="U125" s="237">
        <f t="shared" si="12"/>
        <v>0</v>
      </c>
      <c r="V125" s="237">
        <f t="shared" si="13"/>
        <v>0</v>
      </c>
    </row>
    <row r="126" spans="1:22" s="197" customFormat="1" ht="15.95" customHeight="1">
      <c r="A126" s="235">
        <v>10</v>
      </c>
      <c r="B126" s="240"/>
      <c r="C126" s="237"/>
      <c r="D126" s="237"/>
      <c r="E126" s="237"/>
      <c r="F126" s="237"/>
      <c r="G126" s="237"/>
      <c r="H126" s="237"/>
      <c r="I126" s="237"/>
      <c r="J126" s="237"/>
      <c r="K126" s="237"/>
      <c r="L126" s="237"/>
      <c r="M126" s="237">
        <f t="shared" si="11"/>
        <v>0</v>
      </c>
      <c r="N126" s="237"/>
      <c r="O126" s="237"/>
      <c r="P126" s="237"/>
      <c r="Q126" s="237"/>
      <c r="R126" s="237"/>
      <c r="S126" s="237"/>
      <c r="T126" s="237"/>
      <c r="U126" s="237">
        <f t="shared" si="12"/>
        <v>0</v>
      </c>
      <c r="V126" s="237">
        <f t="shared" si="13"/>
        <v>0</v>
      </c>
    </row>
    <row r="127" spans="1:22" s="197" customFormat="1" ht="15.95" customHeight="1">
      <c r="A127" s="235">
        <v>10</v>
      </c>
      <c r="B127" s="236"/>
      <c r="C127" s="237"/>
      <c r="D127" s="237"/>
      <c r="E127" s="237"/>
      <c r="F127" s="237"/>
      <c r="G127" s="237"/>
      <c r="H127" s="237"/>
      <c r="I127" s="237"/>
      <c r="J127" s="237"/>
      <c r="K127" s="237"/>
      <c r="L127" s="237"/>
      <c r="M127" s="237">
        <f t="shared" si="11"/>
        <v>0</v>
      </c>
      <c r="N127" s="237"/>
      <c r="O127" s="237"/>
      <c r="P127" s="237"/>
      <c r="Q127" s="237"/>
      <c r="R127" s="237"/>
      <c r="S127" s="237"/>
      <c r="T127" s="237"/>
      <c r="U127" s="237">
        <f t="shared" si="12"/>
        <v>0</v>
      </c>
      <c r="V127" s="237">
        <f t="shared" si="13"/>
        <v>0</v>
      </c>
    </row>
    <row r="128" spans="1:22" s="197" customFormat="1" ht="15.95" customHeight="1">
      <c r="A128" s="231">
        <v>11</v>
      </c>
      <c r="B128" s="201"/>
      <c r="C128" s="233"/>
      <c r="D128" s="233"/>
      <c r="E128" s="233"/>
      <c r="F128" s="233"/>
      <c r="G128" s="233"/>
      <c r="H128" s="233"/>
      <c r="I128" s="233"/>
      <c r="J128" s="233"/>
      <c r="K128" s="233"/>
      <c r="L128" s="232"/>
      <c r="M128" s="233">
        <f t="shared" si="11"/>
        <v>0</v>
      </c>
      <c r="N128" s="233"/>
      <c r="O128" s="233"/>
      <c r="P128" s="233"/>
      <c r="Q128" s="233"/>
      <c r="R128" s="233"/>
      <c r="S128" s="233"/>
      <c r="T128" s="233"/>
      <c r="U128" s="233">
        <f t="shared" si="12"/>
        <v>0</v>
      </c>
      <c r="V128" s="233">
        <f t="shared" si="13"/>
        <v>0</v>
      </c>
    </row>
    <row r="129" spans="1:22" s="197" customFormat="1" ht="15.95" customHeight="1">
      <c r="A129" s="231">
        <v>11</v>
      </c>
      <c r="B129" s="201"/>
      <c r="C129" s="233"/>
      <c r="D129" s="233"/>
      <c r="E129" s="233"/>
      <c r="F129" s="233"/>
      <c r="G129" s="233"/>
      <c r="H129" s="233"/>
      <c r="I129" s="233"/>
      <c r="J129" s="233"/>
      <c r="K129" s="233"/>
      <c r="L129" s="232"/>
      <c r="M129" s="233">
        <f t="shared" si="11"/>
        <v>0</v>
      </c>
      <c r="N129" s="233"/>
      <c r="O129" s="233"/>
      <c r="P129" s="233"/>
      <c r="Q129" s="233"/>
      <c r="R129" s="233"/>
      <c r="S129" s="233"/>
      <c r="T129" s="233"/>
      <c r="U129" s="233">
        <f t="shared" si="12"/>
        <v>0</v>
      </c>
      <c r="V129" s="233">
        <f t="shared" si="13"/>
        <v>0</v>
      </c>
    </row>
    <row r="130" spans="1:22" s="197" customFormat="1" ht="15.95" customHeight="1">
      <c r="A130" s="231">
        <v>11</v>
      </c>
      <c r="B130" s="201"/>
      <c r="C130" s="233"/>
      <c r="D130" s="233"/>
      <c r="E130" s="233"/>
      <c r="F130" s="233"/>
      <c r="G130" s="233"/>
      <c r="H130" s="233"/>
      <c r="I130" s="233"/>
      <c r="J130" s="233"/>
      <c r="K130" s="233"/>
      <c r="L130" s="232"/>
      <c r="M130" s="233">
        <f t="shared" si="11"/>
        <v>0</v>
      </c>
      <c r="N130" s="233"/>
      <c r="O130" s="233"/>
      <c r="P130" s="233"/>
      <c r="Q130" s="233"/>
      <c r="R130" s="233"/>
      <c r="S130" s="233"/>
      <c r="T130" s="233"/>
      <c r="U130" s="233">
        <f t="shared" si="12"/>
        <v>0</v>
      </c>
      <c r="V130" s="233">
        <f t="shared" si="13"/>
        <v>0</v>
      </c>
    </row>
    <row r="131" spans="1:22" s="197" customFormat="1" ht="15.95" customHeight="1">
      <c r="A131" s="231">
        <v>11</v>
      </c>
      <c r="B131" s="201"/>
      <c r="C131" s="233"/>
      <c r="D131" s="233"/>
      <c r="E131" s="233"/>
      <c r="F131" s="233"/>
      <c r="G131" s="233"/>
      <c r="H131" s="233"/>
      <c r="I131" s="233"/>
      <c r="J131" s="233"/>
      <c r="K131" s="233"/>
      <c r="L131" s="232"/>
      <c r="M131" s="233">
        <f t="shared" si="11"/>
        <v>0</v>
      </c>
      <c r="N131" s="233"/>
      <c r="O131" s="233"/>
      <c r="P131" s="233"/>
      <c r="Q131" s="233"/>
      <c r="R131" s="233"/>
      <c r="S131" s="233"/>
      <c r="T131" s="233"/>
      <c r="U131" s="233">
        <f t="shared" si="12"/>
        <v>0</v>
      </c>
      <c r="V131" s="233">
        <f t="shared" si="13"/>
        <v>0</v>
      </c>
    </row>
    <row r="132" spans="1:22" s="197" customFormat="1" ht="15.95" customHeight="1">
      <c r="A132" s="231">
        <v>11</v>
      </c>
      <c r="B132" s="201"/>
      <c r="C132" s="233"/>
      <c r="D132" s="233"/>
      <c r="E132" s="233"/>
      <c r="F132" s="233"/>
      <c r="G132" s="233"/>
      <c r="H132" s="233"/>
      <c r="I132" s="233"/>
      <c r="J132" s="233"/>
      <c r="K132" s="233"/>
      <c r="L132" s="232"/>
      <c r="M132" s="233">
        <f t="shared" si="11"/>
        <v>0</v>
      </c>
      <c r="N132" s="233"/>
      <c r="O132" s="233"/>
      <c r="P132" s="233"/>
      <c r="Q132" s="233"/>
      <c r="R132" s="233"/>
      <c r="S132" s="233"/>
      <c r="T132" s="233"/>
      <c r="U132" s="233">
        <f t="shared" si="12"/>
        <v>0</v>
      </c>
      <c r="V132" s="233">
        <f t="shared" si="13"/>
        <v>0</v>
      </c>
    </row>
    <row r="133" spans="1:22" s="197" customFormat="1" ht="15.95" customHeight="1">
      <c r="A133" s="231">
        <v>11</v>
      </c>
      <c r="B133" s="201"/>
      <c r="C133" s="233"/>
      <c r="D133" s="233"/>
      <c r="E133" s="233"/>
      <c r="F133" s="233"/>
      <c r="G133" s="233"/>
      <c r="H133" s="233"/>
      <c r="I133" s="233"/>
      <c r="J133" s="233"/>
      <c r="K133" s="233"/>
      <c r="L133" s="232"/>
      <c r="M133" s="233">
        <f t="shared" si="11"/>
        <v>0</v>
      </c>
      <c r="N133" s="233"/>
      <c r="O133" s="233"/>
      <c r="P133" s="233"/>
      <c r="Q133" s="233"/>
      <c r="R133" s="233"/>
      <c r="S133" s="233"/>
      <c r="T133" s="233"/>
      <c r="U133" s="233">
        <f t="shared" si="12"/>
        <v>0</v>
      </c>
      <c r="V133" s="233">
        <f t="shared" si="13"/>
        <v>0</v>
      </c>
    </row>
    <row r="134" spans="1:22" s="197" customFormat="1" ht="15.95" customHeight="1">
      <c r="A134" s="231">
        <v>11</v>
      </c>
      <c r="B134" s="201"/>
      <c r="C134" s="233"/>
      <c r="D134" s="233"/>
      <c r="E134" s="233"/>
      <c r="F134" s="233"/>
      <c r="G134" s="233"/>
      <c r="H134" s="233"/>
      <c r="I134" s="233"/>
      <c r="J134" s="233"/>
      <c r="K134" s="233"/>
      <c r="L134" s="232"/>
      <c r="M134" s="233">
        <f t="shared" si="11"/>
        <v>0</v>
      </c>
      <c r="N134" s="233"/>
      <c r="O134" s="233"/>
      <c r="P134" s="233"/>
      <c r="Q134" s="233"/>
      <c r="R134" s="233"/>
      <c r="S134" s="233"/>
      <c r="T134" s="233"/>
      <c r="U134" s="233">
        <f t="shared" si="12"/>
        <v>0</v>
      </c>
      <c r="V134" s="233">
        <f t="shared" si="13"/>
        <v>0</v>
      </c>
    </row>
    <row r="135" spans="1:22" s="197" customFormat="1" ht="15.95" customHeight="1">
      <c r="A135" s="231">
        <v>11</v>
      </c>
      <c r="B135" s="201"/>
      <c r="C135" s="233"/>
      <c r="D135" s="233"/>
      <c r="E135" s="233"/>
      <c r="F135" s="233"/>
      <c r="G135" s="233"/>
      <c r="H135" s="233"/>
      <c r="I135" s="233"/>
      <c r="J135" s="233"/>
      <c r="K135" s="233"/>
      <c r="L135" s="232"/>
      <c r="M135" s="233">
        <f t="shared" si="11"/>
        <v>0</v>
      </c>
      <c r="N135" s="233"/>
      <c r="O135" s="233"/>
      <c r="P135" s="233"/>
      <c r="Q135" s="233"/>
      <c r="R135" s="233"/>
      <c r="S135" s="233"/>
      <c r="T135" s="233"/>
      <c r="U135" s="233">
        <f t="shared" si="12"/>
        <v>0</v>
      </c>
      <c r="V135" s="233">
        <f t="shared" si="13"/>
        <v>0</v>
      </c>
    </row>
    <row r="136" spans="1:22" s="197" customFormat="1" ht="15.95" customHeight="1">
      <c r="A136" s="231">
        <v>11</v>
      </c>
      <c r="B136" s="201"/>
      <c r="C136" s="233"/>
      <c r="D136" s="233"/>
      <c r="E136" s="233"/>
      <c r="F136" s="233"/>
      <c r="G136" s="233"/>
      <c r="H136" s="233"/>
      <c r="I136" s="233"/>
      <c r="J136" s="233"/>
      <c r="K136" s="233"/>
      <c r="L136" s="232"/>
      <c r="M136" s="233">
        <f t="shared" si="11"/>
        <v>0</v>
      </c>
      <c r="N136" s="233"/>
      <c r="O136" s="233"/>
      <c r="P136" s="233"/>
      <c r="Q136" s="233"/>
      <c r="R136" s="233"/>
      <c r="S136" s="233"/>
      <c r="T136" s="233"/>
      <c r="U136" s="233">
        <f t="shared" si="12"/>
        <v>0</v>
      </c>
      <c r="V136" s="233">
        <f t="shared" si="13"/>
        <v>0</v>
      </c>
    </row>
    <row r="137" spans="1:22" s="197" customFormat="1" ht="15.95" customHeight="1">
      <c r="A137" s="231">
        <v>11</v>
      </c>
      <c r="B137" s="201"/>
      <c r="C137" s="233"/>
      <c r="D137" s="233"/>
      <c r="E137" s="233"/>
      <c r="F137" s="233"/>
      <c r="G137" s="233"/>
      <c r="H137" s="233"/>
      <c r="I137" s="233"/>
      <c r="J137" s="233"/>
      <c r="K137" s="233"/>
      <c r="L137" s="232"/>
      <c r="M137" s="233">
        <f t="shared" si="11"/>
        <v>0</v>
      </c>
      <c r="N137" s="233"/>
      <c r="O137" s="233"/>
      <c r="P137" s="233"/>
      <c r="Q137" s="233"/>
      <c r="R137" s="233"/>
      <c r="S137" s="233"/>
      <c r="T137" s="233"/>
      <c r="U137" s="233">
        <f t="shared" si="12"/>
        <v>0</v>
      </c>
      <c r="V137" s="233">
        <f t="shared" si="13"/>
        <v>0</v>
      </c>
    </row>
    <row r="138" spans="1:22" s="239" customFormat="1" ht="15.95" customHeight="1">
      <c r="A138" s="231">
        <v>11</v>
      </c>
      <c r="B138" s="207"/>
      <c r="C138" s="233"/>
      <c r="D138" s="233"/>
      <c r="E138" s="233"/>
      <c r="F138" s="233"/>
      <c r="G138" s="233"/>
      <c r="H138" s="233"/>
      <c r="I138" s="233"/>
      <c r="J138" s="233"/>
      <c r="K138" s="233"/>
      <c r="L138" s="233"/>
      <c r="M138" s="233">
        <f t="shared" si="11"/>
        <v>0</v>
      </c>
      <c r="N138" s="233"/>
      <c r="O138" s="233"/>
      <c r="P138" s="233"/>
      <c r="Q138" s="233"/>
      <c r="R138" s="233"/>
      <c r="S138" s="233"/>
      <c r="T138" s="233"/>
      <c r="U138" s="233">
        <f t="shared" si="12"/>
        <v>0</v>
      </c>
      <c r="V138" s="233">
        <f t="shared" si="13"/>
        <v>0</v>
      </c>
    </row>
    <row r="139" spans="1:22" s="239" customFormat="1" ht="15.95" customHeight="1">
      <c r="A139" s="231">
        <v>11</v>
      </c>
      <c r="B139" s="201"/>
      <c r="C139" s="233"/>
      <c r="D139" s="233"/>
      <c r="E139" s="233"/>
      <c r="F139" s="233"/>
      <c r="G139" s="233"/>
      <c r="H139" s="233"/>
      <c r="I139" s="233"/>
      <c r="J139" s="233"/>
      <c r="K139" s="233"/>
      <c r="L139" s="233"/>
      <c r="M139" s="233">
        <f t="shared" si="11"/>
        <v>0</v>
      </c>
      <c r="N139" s="233"/>
      <c r="O139" s="233"/>
      <c r="P139" s="233"/>
      <c r="Q139" s="233"/>
      <c r="R139" s="233"/>
      <c r="S139" s="233"/>
      <c r="T139" s="233"/>
      <c r="U139" s="233">
        <f t="shared" si="12"/>
        <v>0</v>
      </c>
      <c r="V139" s="233">
        <f t="shared" si="13"/>
        <v>0</v>
      </c>
    </row>
    <row r="140" spans="1:22" s="239" customFormat="1" ht="15.95" customHeight="1">
      <c r="A140" s="235">
        <v>12</v>
      </c>
      <c r="B140" s="236"/>
      <c r="C140" s="237"/>
      <c r="D140" s="237"/>
      <c r="E140" s="237"/>
      <c r="F140" s="237"/>
      <c r="G140" s="237"/>
      <c r="H140" s="237"/>
      <c r="I140" s="237"/>
      <c r="J140" s="237"/>
      <c r="K140" s="237"/>
      <c r="L140" s="237"/>
      <c r="M140" s="237">
        <f t="shared" ref="M140:M151" si="14">SUM(C140:L140)</f>
        <v>0</v>
      </c>
      <c r="N140" s="237"/>
      <c r="O140" s="237"/>
      <c r="P140" s="237"/>
      <c r="Q140" s="237"/>
      <c r="R140" s="237"/>
      <c r="S140" s="237"/>
      <c r="T140" s="237"/>
      <c r="U140" s="237">
        <f t="shared" ref="U140:U151" si="15">SUM(N140:T140)</f>
        <v>0</v>
      </c>
      <c r="V140" s="237">
        <f t="shared" ref="V140:V151" si="16">SUM(U140,M140)</f>
        <v>0</v>
      </c>
    </row>
    <row r="141" spans="1:22" s="239" customFormat="1" ht="15.95" customHeight="1">
      <c r="A141" s="235">
        <v>12</v>
      </c>
      <c r="B141" s="236"/>
      <c r="C141" s="237"/>
      <c r="D141" s="237"/>
      <c r="E141" s="237"/>
      <c r="F141" s="237"/>
      <c r="G141" s="237"/>
      <c r="H141" s="237"/>
      <c r="I141" s="237"/>
      <c r="J141" s="237"/>
      <c r="K141" s="237"/>
      <c r="L141" s="237"/>
      <c r="M141" s="237">
        <f t="shared" si="14"/>
        <v>0</v>
      </c>
      <c r="N141" s="237"/>
      <c r="O141" s="237"/>
      <c r="P141" s="237"/>
      <c r="Q141" s="237"/>
      <c r="R141" s="237"/>
      <c r="S141" s="237"/>
      <c r="T141" s="237"/>
      <c r="U141" s="237">
        <f t="shared" si="15"/>
        <v>0</v>
      </c>
      <c r="V141" s="237">
        <f t="shared" si="16"/>
        <v>0</v>
      </c>
    </row>
    <row r="142" spans="1:22" s="239" customFormat="1" ht="15.95" customHeight="1">
      <c r="A142" s="235">
        <v>12</v>
      </c>
      <c r="B142" s="236"/>
      <c r="C142" s="237"/>
      <c r="D142" s="237"/>
      <c r="E142" s="237"/>
      <c r="F142" s="237"/>
      <c r="G142" s="237"/>
      <c r="H142" s="237"/>
      <c r="I142" s="237"/>
      <c r="J142" s="237"/>
      <c r="K142" s="237"/>
      <c r="L142" s="237"/>
      <c r="M142" s="237">
        <f t="shared" si="14"/>
        <v>0</v>
      </c>
      <c r="N142" s="237"/>
      <c r="O142" s="237"/>
      <c r="P142" s="237"/>
      <c r="Q142" s="237"/>
      <c r="R142" s="237"/>
      <c r="S142" s="237"/>
      <c r="T142" s="237"/>
      <c r="U142" s="237">
        <f t="shared" si="15"/>
        <v>0</v>
      </c>
      <c r="V142" s="237">
        <f t="shared" si="16"/>
        <v>0</v>
      </c>
    </row>
    <row r="143" spans="1:22" s="239" customFormat="1" ht="15.95" customHeight="1">
      <c r="A143" s="235">
        <v>12</v>
      </c>
      <c r="B143" s="236"/>
      <c r="C143" s="237"/>
      <c r="D143" s="237"/>
      <c r="E143" s="237"/>
      <c r="F143" s="237"/>
      <c r="G143" s="237"/>
      <c r="H143" s="237"/>
      <c r="I143" s="237"/>
      <c r="J143" s="237"/>
      <c r="K143" s="237"/>
      <c r="L143" s="237"/>
      <c r="M143" s="237">
        <f t="shared" si="14"/>
        <v>0</v>
      </c>
      <c r="N143" s="237"/>
      <c r="O143" s="237"/>
      <c r="P143" s="237"/>
      <c r="Q143" s="237"/>
      <c r="R143" s="237"/>
      <c r="S143" s="237"/>
      <c r="T143" s="237"/>
      <c r="U143" s="237">
        <f t="shared" si="15"/>
        <v>0</v>
      </c>
      <c r="V143" s="237">
        <f t="shared" si="16"/>
        <v>0</v>
      </c>
    </row>
    <row r="144" spans="1:22" s="239" customFormat="1" ht="15.95" customHeight="1">
      <c r="A144" s="235">
        <v>12</v>
      </c>
      <c r="B144" s="236"/>
      <c r="C144" s="237"/>
      <c r="D144" s="237"/>
      <c r="E144" s="237"/>
      <c r="F144" s="237"/>
      <c r="G144" s="237"/>
      <c r="H144" s="237"/>
      <c r="I144" s="237"/>
      <c r="J144" s="237"/>
      <c r="K144" s="237"/>
      <c r="L144" s="237"/>
      <c r="M144" s="237">
        <f t="shared" si="14"/>
        <v>0</v>
      </c>
      <c r="N144" s="237"/>
      <c r="O144" s="237"/>
      <c r="P144" s="237"/>
      <c r="Q144" s="237"/>
      <c r="R144" s="237"/>
      <c r="S144" s="237"/>
      <c r="T144" s="237"/>
      <c r="U144" s="237">
        <f t="shared" si="15"/>
        <v>0</v>
      </c>
      <c r="V144" s="237">
        <f t="shared" si="16"/>
        <v>0</v>
      </c>
    </row>
    <row r="145" spans="1:23" s="239" customFormat="1" ht="15.95" customHeight="1">
      <c r="A145" s="235">
        <v>12</v>
      </c>
      <c r="B145" s="236"/>
      <c r="C145" s="237"/>
      <c r="D145" s="237"/>
      <c r="E145" s="237"/>
      <c r="F145" s="237"/>
      <c r="G145" s="237"/>
      <c r="H145" s="237"/>
      <c r="I145" s="237"/>
      <c r="J145" s="237"/>
      <c r="K145" s="237"/>
      <c r="L145" s="237"/>
      <c r="M145" s="237">
        <f t="shared" si="14"/>
        <v>0</v>
      </c>
      <c r="N145" s="237"/>
      <c r="O145" s="237"/>
      <c r="P145" s="237"/>
      <c r="Q145" s="237"/>
      <c r="R145" s="237"/>
      <c r="S145" s="237"/>
      <c r="T145" s="237"/>
      <c r="U145" s="237">
        <f t="shared" si="15"/>
        <v>0</v>
      </c>
      <c r="V145" s="237">
        <f t="shared" si="16"/>
        <v>0</v>
      </c>
    </row>
    <row r="146" spans="1:23" s="239" customFormat="1" ht="15.95" customHeight="1">
      <c r="A146" s="235">
        <v>12</v>
      </c>
      <c r="B146" s="236"/>
      <c r="C146" s="237"/>
      <c r="D146" s="237"/>
      <c r="E146" s="237"/>
      <c r="F146" s="237"/>
      <c r="G146" s="237"/>
      <c r="H146" s="237"/>
      <c r="I146" s="237"/>
      <c r="J146" s="237"/>
      <c r="K146" s="237"/>
      <c r="L146" s="237"/>
      <c r="M146" s="237">
        <f t="shared" si="14"/>
        <v>0</v>
      </c>
      <c r="N146" s="237"/>
      <c r="O146" s="237"/>
      <c r="P146" s="237"/>
      <c r="Q146" s="237"/>
      <c r="R146" s="237"/>
      <c r="S146" s="237"/>
      <c r="T146" s="237"/>
      <c r="U146" s="237">
        <f t="shared" si="15"/>
        <v>0</v>
      </c>
      <c r="V146" s="237">
        <f t="shared" si="16"/>
        <v>0</v>
      </c>
    </row>
    <row r="147" spans="1:23" s="239" customFormat="1" ht="15.95" customHeight="1">
      <c r="A147" s="235">
        <v>12</v>
      </c>
      <c r="B147" s="236"/>
      <c r="C147" s="237"/>
      <c r="D147" s="237"/>
      <c r="E147" s="237"/>
      <c r="F147" s="237"/>
      <c r="G147" s="237"/>
      <c r="H147" s="237"/>
      <c r="I147" s="237"/>
      <c r="J147" s="237"/>
      <c r="K147" s="237"/>
      <c r="L147" s="237"/>
      <c r="M147" s="237">
        <f t="shared" si="14"/>
        <v>0</v>
      </c>
      <c r="N147" s="237"/>
      <c r="O147" s="237"/>
      <c r="P147" s="237"/>
      <c r="Q147" s="237"/>
      <c r="R147" s="237"/>
      <c r="S147" s="237"/>
      <c r="T147" s="237"/>
      <c r="U147" s="237">
        <f t="shared" si="15"/>
        <v>0</v>
      </c>
      <c r="V147" s="237">
        <f t="shared" si="16"/>
        <v>0</v>
      </c>
    </row>
    <row r="148" spans="1:23" s="239" customFormat="1" ht="15.95" customHeight="1">
      <c r="A148" s="235">
        <v>12</v>
      </c>
      <c r="B148" s="236"/>
      <c r="C148" s="237"/>
      <c r="D148" s="237"/>
      <c r="E148" s="237"/>
      <c r="F148" s="237"/>
      <c r="G148" s="237"/>
      <c r="H148" s="237"/>
      <c r="I148" s="237"/>
      <c r="J148" s="237"/>
      <c r="K148" s="237"/>
      <c r="L148" s="237"/>
      <c r="M148" s="237">
        <f t="shared" si="14"/>
        <v>0</v>
      </c>
      <c r="N148" s="237"/>
      <c r="O148" s="237"/>
      <c r="P148" s="237"/>
      <c r="Q148" s="237"/>
      <c r="R148" s="237"/>
      <c r="S148" s="237"/>
      <c r="T148" s="237"/>
      <c r="U148" s="237">
        <f t="shared" si="15"/>
        <v>0</v>
      </c>
      <c r="V148" s="237">
        <f t="shared" si="16"/>
        <v>0</v>
      </c>
    </row>
    <row r="149" spans="1:23" s="239" customFormat="1" ht="15.95" customHeight="1">
      <c r="A149" s="235">
        <v>12</v>
      </c>
      <c r="B149" s="236"/>
      <c r="C149" s="237"/>
      <c r="D149" s="237"/>
      <c r="E149" s="237"/>
      <c r="F149" s="237"/>
      <c r="G149" s="237"/>
      <c r="H149" s="237"/>
      <c r="I149" s="237"/>
      <c r="J149" s="237"/>
      <c r="K149" s="237"/>
      <c r="L149" s="237"/>
      <c r="M149" s="237">
        <f t="shared" si="14"/>
        <v>0</v>
      </c>
      <c r="N149" s="237"/>
      <c r="O149" s="237"/>
      <c r="P149" s="237"/>
      <c r="Q149" s="237"/>
      <c r="R149" s="237"/>
      <c r="S149" s="237"/>
      <c r="T149" s="237"/>
      <c r="U149" s="237">
        <f t="shared" si="15"/>
        <v>0</v>
      </c>
      <c r="V149" s="237">
        <f t="shared" si="16"/>
        <v>0</v>
      </c>
    </row>
    <row r="150" spans="1:23" s="239" customFormat="1" ht="15.95" customHeight="1">
      <c r="A150" s="235">
        <v>12</v>
      </c>
      <c r="B150" s="240"/>
      <c r="C150" s="237"/>
      <c r="D150" s="237"/>
      <c r="E150" s="237"/>
      <c r="F150" s="237"/>
      <c r="G150" s="237"/>
      <c r="H150" s="237"/>
      <c r="I150" s="237"/>
      <c r="J150" s="237"/>
      <c r="K150" s="237"/>
      <c r="L150" s="237"/>
      <c r="M150" s="237">
        <f t="shared" si="14"/>
        <v>0</v>
      </c>
      <c r="N150" s="237"/>
      <c r="O150" s="237"/>
      <c r="P150" s="237"/>
      <c r="Q150" s="237"/>
      <c r="R150" s="237"/>
      <c r="S150" s="237"/>
      <c r="T150" s="237"/>
      <c r="U150" s="237">
        <f t="shared" si="15"/>
        <v>0</v>
      </c>
      <c r="V150" s="237">
        <f t="shared" si="16"/>
        <v>0</v>
      </c>
    </row>
    <row r="151" spans="1:23" s="239" customFormat="1" ht="15.95" customHeight="1">
      <c r="A151" s="235">
        <v>12</v>
      </c>
      <c r="B151" s="236"/>
      <c r="C151" s="237"/>
      <c r="D151" s="237"/>
      <c r="E151" s="237"/>
      <c r="F151" s="237"/>
      <c r="G151" s="237"/>
      <c r="H151" s="237"/>
      <c r="I151" s="237"/>
      <c r="J151" s="237"/>
      <c r="K151" s="237"/>
      <c r="L151" s="237"/>
      <c r="M151" s="237">
        <f t="shared" si="14"/>
        <v>0</v>
      </c>
      <c r="N151" s="237"/>
      <c r="O151" s="237"/>
      <c r="P151" s="237"/>
      <c r="Q151" s="237"/>
      <c r="R151" s="237"/>
      <c r="S151" s="237"/>
      <c r="T151" s="237"/>
      <c r="U151" s="237">
        <f t="shared" si="15"/>
        <v>0</v>
      </c>
      <c r="V151" s="237">
        <f t="shared" si="16"/>
        <v>0</v>
      </c>
    </row>
    <row r="152" spans="1:23" s="197" customFormat="1" ht="15.95" customHeight="1">
      <c r="A152" s="231"/>
      <c r="B152" s="243" t="s">
        <v>177</v>
      </c>
      <c r="C152" s="232"/>
      <c r="D152" s="232"/>
      <c r="E152" s="232"/>
      <c r="F152" s="232"/>
      <c r="G152" s="232"/>
      <c r="H152" s="232"/>
      <c r="I152" s="232"/>
      <c r="J152" s="232"/>
      <c r="K152" s="232"/>
      <c r="L152" s="232"/>
      <c r="M152" s="232"/>
      <c r="N152" s="232"/>
      <c r="O152" s="232"/>
      <c r="P152" s="232"/>
      <c r="Q152" s="232"/>
      <c r="R152" s="232"/>
      <c r="S152" s="232"/>
      <c r="T152" s="232"/>
      <c r="U152" s="232"/>
      <c r="V152" s="232"/>
    </row>
    <row r="153" spans="1:23" s="197" customFormat="1" ht="15.95" customHeight="1"/>
    <row r="154" spans="1:23" s="197" customFormat="1" ht="13.5">
      <c r="B154" s="197" t="s">
        <v>178</v>
      </c>
      <c r="W154" s="244"/>
    </row>
    <row r="155" spans="1:23" s="197" customFormat="1" ht="13.5">
      <c r="B155" s="197" t="s">
        <v>485</v>
      </c>
      <c r="C155" s="217">
        <f t="shared" ref="C155:T155" ca="1" si="17">IF(B155="","",SUMIF($B$4:$V$152,$B155,C$4:C$152))</f>
        <v>216490</v>
      </c>
      <c r="D155" s="217">
        <f t="shared" ca="1" si="17"/>
        <v>21890</v>
      </c>
      <c r="E155" s="217">
        <f t="shared" ca="1" si="17"/>
        <v>61460</v>
      </c>
      <c r="F155" s="217">
        <f t="shared" ca="1" si="17"/>
        <v>31150</v>
      </c>
      <c r="G155" s="217">
        <f t="shared" ca="1" si="17"/>
        <v>42980</v>
      </c>
      <c r="H155" s="217">
        <f t="shared" ca="1" si="17"/>
        <v>4320</v>
      </c>
      <c r="I155" s="217">
        <f t="shared" ca="1" si="17"/>
        <v>360</v>
      </c>
      <c r="J155" s="217">
        <f t="shared" ca="1" si="17"/>
        <v>21160</v>
      </c>
      <c r="K155" s="217">
        <f t="shared" ca="1" si="17"/>
        <v>51690</v>
      </c>
      <c r="L155" s="217">
        <f t="shared" ca="1" si="17"/>
        <v>13150</v>
      </c>
      <c r="M155" s="217">
        <f t="shared" ca="1" si="17"/>
        <v>464650</v>
      </c>
      <c r="N155" s="217">
        <f t="shared" ca="1" si="17"/>
        <v>213330</v>
      </c>
      <c r="O155" s="217">
        <f t="shared" ca="1" si="17"/>
        <v>21630</v>
      </c>
      <c r="P155" s="217">
        <f t="shared" ca="1" si="17"/>
        <v>276020</v>
      </c>
      <c r="Q155" s="217">
        <f t="shared" ca="1" si="17"/>
        <v>49750</v>
      </c>
      <c r="R155" s="217">
        <f t="shared" ca="1" si="17"/>
        <v>4320</v>
      </c>
      <c r="S155" s="217">
        <f t="shared" ca="1" si="17"/>
        <v>360</v>
      </c>
      <c r="T155" s="217">
        <f t="shared" ca="1" si="17"/>
        <v>10230</v>
      </c>
      <c r="U155" s="217">
        <f t="shared" ref="U155:U172" ca="1" si="18">IF(S155="","",SUMIF($B$4:$V$152,$B155,U$4:U$152))</f>
        <v>575640</v>
      </c>
      <c r="V155" s="217">
        <f t="shared" ref="V155:V172" ca="1" si="19">IF(U155="","",SUMIF($B$4:$V$152,$B155,V$4:V$152))</f>
        <v>1040290</v>
      </c>
    </row>
    <row r="156" spans="1:23" s="197" customFormat="1" ht="13.5">
      <c r="B156" s="197" t="s">
        <v>486</v>
      </c>
      <c r="C156" s="217">
        <f t="shared" ref="C156:T156" ca="1" si="20">IF(B156="","",SUMIF($B$4:$V$152,$B156,C$4:C$152))</f>
        <v>245290</v>
      </c>
      <c r="D156" s="217">
        <f t="shared" ca="1" si="20"/>
        <v>22380</v>
      </c>
      <c r="E156" s="217">
        <f t="shared" ca="1" si="20"/>
        <v>317330</v>
      </c>
      <c r="F156" s="217">
        <f t="shared" ca="1" si="20"/>
        <v>58450</v>
      </c>
      <c r="G156" s="217">
        <f t="shared" ca="1" si="20"/>
        <v>62100</v>
      </c>
      <c r="H156" s="217">
        <f t="shared" ca="1" si="20"/>
        <v>0</v>
      </c>
      <c r="I156" s="217">
        <f t="shared" ca="1" si="20"/>
        <v>0</v>
      </c>
      <c r="J156" s="217">
        <f t="shared" ca="1" si="20"/>
        <v>36770</v>
      </c>
      <c r="K156" s="217">
        <f t="shared" ca="1" si="20"/>
        <v>73750</v>
      </c>
      <c r="L156" s="217">
        <f t="shared" ca="1" si="20"/>
        <v>22940</v>
      </c>
      <c r="M156" s="217">
        <f t="shared" ca="1" si="20"/>
        <v>839010</v>
      </c>
      <c r="N156" s="217">
        <f t="shared" ca="1" si="20"/>
        <v>245290</v>
      </c>
      <c r="O156" s="217">
        <f t="shared" ca="1" si="20"/>
        <v>28240</v>
      </c>
      <c r="P156" s="217">
        <f t="shared" ca="1" si="20"/>
        <v>317330</v>
      </c>
      <c r="Q156" s="217">
        <f t="shared" ca="1" si="20"/>
        <v>58450</v>
      </c>
      <c r="R156" s="217">
        <f t="shared" ca="1" si="20"/>
        <v>0</v>
      </c>
      <c r="S156" s="217">
        <f t="shared" ca="1" si="20"/>
        <v>0</v>
      </c>
      <c r="T156" s="217">
        <f t="shared" ca="1" si="20"/>
        <v>17840</v>
      </c>
      <c r="U156" s="217">
        <f t="shared" ca="1" si="18"/>
        <v>667150</v>
      </c>
      <c r="V156" s="217">
        <f t="shared" ca="1" si="19"/>
        <v>1506160</v>
      </c>
    </row>
    <row r="157" spans="1:23" s="197" customFormat="1" ht="13.5">
      <c r="B157" s="197" t="s">
        <v>428</v>
      </c>
      <c r="C157" s="217">
        <f t="shared" ref="C157:T157" ca="1" si="21">IF(B157="","",SUMIF($B$4:$V$152,$B157,C$4:C$152))</f>
        <v>286830</v>
      </c>
      <c r="D157" s="217">
        <f t="shared" ca="1" si="21"/>
        <v>27160</v>
      </c>
      <c r="E157" s="217">
        <f t="shared" ca="1" si="21"/>
        <v>369220</v>
      </c>
      <c r="F157" s="217">
        <f t="shared" ca="1" si="21"/>
        <v>64700</v>
      </c>
      <c r="G157" s="217">
        <f t="shared" ca="1" si="21"/>
        <v>83170</v>
      </c>
      <c r="H157" s="217">
        <f t="shared" ca="1" si="21"/>
        <v>6350</v>
      </c>
      <c r="I157" s="217">
        <f t="shared" ca="1" si="21"/>
        <v>690</v>
      </c>
      <c r="J157" s="217">
        <f t="shared" ca="1" si="21"/>
        <v>-2700</v>
      </c>
      <c r="K157" s="217">
        <f t="shared" ca="1" si="21"/>
        <v>82180</v>
      </c>
      <c r="L157" s="217">
        <f t="shared" ca="1" si="21"/>
        <v>880</v>
      </c>
      <c r="M157" s="217">
        <f t="shared" ca="1" si="21"/>
        <v>918480</v>
      </c>
      <c r="N157" s="217">
        <f t="shared" ca="1" si="21"/>
        <v>284930</v>
      </c>
      <c r="O157" s="217">
        <f t="shared" ca="1" si="21"/>
        <v>32800</v>
      </c>
      <c r="P157" s="217">
        <f t="shared" ca="1" si="21"/>
        <v>369220</v>
      </c>
      <c r="Q157" s="217">
        <f t="shared" ca="1" si="21"/>
        <v>66760</v>
      </c>
      <c r="R157" s="217">
        <f t="shared" ca="1" si="21"/>
        <v>6350</v>
      </c>
      <c r="S157" s="217">
        <f t="shared" ca="1" si="21"/>
        <v>690</v>
      </c>
      <c r="T157" s="217">
        <f t="shared" ca="1" si="21"/>
        <v>-1310</v>
      </c>
      <c r="U157" s="217">
        <f t="shared" ca="1" si="18"/>
        <v>759440</v>
      </c>
      <c r="V157" s="217">
        <f t="shared" ca="1" si="19"/>
        <v>1677920</v>
      </c>
    </row>
    <row r="158" spans="1:23" s="197" customFormat="1" ht="13.5">
      <c r="B158" s="197" t="s">
        <v>429</v>
      </c>
      <c r="C158" s="217">
        <f t="shared" ref="C158:T158" ca="1" si="22">IF(B158="","",SUMIF($B$4:$V$152,$B158,C$4:C$152))</f>
        <v>215170</v>
      </c>
      <c r="D158" s="217">
        <f t="shared" ca="1" si="22"/>
        <v>24760</v>
      </c>
      <c r="E158" s="217">
        <f t="shared" ca="1" si="22"/>
        <v>303570</v>
      </c>
      <c r="F158" s="217">
        <f t="shared" ca="1" si="22"/>
        <v>51510</v>
      </c>
      <c r="G158" s="217">
        <f t="shared" ca="1" si="22"/>
        <v>56060</v>
      </c>
      <c r="H158" s="217">
        <f t="shared" ca="1" si="22"/>
        <v>-76670</v>
      </c>
      <c r="I158" s="217">
        <f t="shared" ca="1" si="22"/>
        <v>-7820</v>
      </c>
      <c r="J158" s="217">
        <f t="shared" ca="1" si="22"/>
        <v>-31990</v>
      </c>
      <c r="K158" s="217">
        <f t="shared" ca="1" si="22"/>
        <v>65970</v>
      </c>
      <c r="L158" s="217">
        <f t="shared" ca="1" si="22"/>
        <v>-15940</v>
      </c>
      <c r="M158" s="217">
        <f t="shared" ca="1" si="22"/>
        <v>584620</v>
      </c>
      <c r="N158" s="217">
        <f t="shared" ca="1" si="22"/>
        <v>233730</v>
      </c>
      <c r="O158" s="217">
        <f t="shared" ca="1" si="22"/>
        <v>26900</v>
      </c>
      <c r="P158" s="217">
        <f t="shared" ca="1" si="22"/>
        <v>303570</v>
      </c>
      <c r="Q158" s="217">
        <f t="shared" ca="1" si="22"/>
        <v>53990</v>
      </c>
      <c r="R158" s="217">
        <f t="shared" ca="1" si="22"/>
        <v>-76670</v>
      </c>
      <c r="S158" s="217">
        <f t="shared" ca="1" si="22"/>
        <v>-7820</v>
      </c>
      <c r="T158" s="217">
        <f t="shared" ca="1" si="22"/>
        <v>-15500</v>
      </c>
      <c r="U158" s="217">
        <f t="shared" ca="1" si="18"/>
        <v>518200</v>
      </c>
      <c r="V158" s="217">
        <f t="shared" ca="1" si="19"/>
        <v>1102820</v>
      </c>
    </row>
    <row r="159" spans="1:23" s="197" customFormat="1" ht="13.5">
      <c r="B159" s="197" t="s">
        <v>430</v>
      </c>
      <c r="C159" s="217">
        <f t="shared" ref="C159:T159" ca="1" si="23">IF(B159="","",SUMIF($B$4:$V$152,$B159,C$4:C$152))</f>
        <v>0</v>
      </c>
      <c r="D159" s="217">
        <f t="shared" ca="1" si="23"/>
        <v>0</v>
      </c>
      <c r="E159" s="217">
        <f t="shared" ca="1" si="23"/>
        <v>0</v>
      </c>
      <c r="F159" s="217">
        <f t="shared" ca="1" si="23"/>
        <v>0</v>
      </c>
      <c r="G159" s="217">
        <f t="shared" ca="1" si="23"/>
        <v>0</v>
      </c>
      <c r="H159" s="217">
        <f t="shared" ca="1" si="23"/>
        <v>0</v>
      </c>
      <c r="I159" s="217">
        <f t="shared" ca="1" si="23"/>
        <v>0</v>
      </c>
      <c r="J159" s="217">
        <f t="shared" ca="1" si="23"/>
        <v>0</v>
      </c>
      <c r="K159" s="217">
        <f t="shared" ca="1" si="23"/>
        <v>0</v>
      </c>
      <c r="L159" s="217">
        <f t="shared" ca="1" si="23"/>
        <v>0</v>
      </c>
      <c r="M159" s="217">
        <f t="shared" ca="1" si="23"/>
        <v>0</v>
      </c>
      <c r="N159" s="217">
        <f t="shared" ca="1" si="23"/>
        <v>0</v>
      </c>
      <c r="O159" s="217">
        <f t="shared" ca="1" si="23"/>
        <v>0</v>
      </c>
      <c r="P159" s="217">
        <f t="shared" ca="1" si="23"/>
        <v>0</v>
      </c>
      <c r="Q159" s="217">
        <f t="shared" ca="1" si="23"/>
        <v>0</v>
      </c>
      <c r="R159" s="217">
        <f t="shared" ca="1" si="23"/>
        <v>0</v>
      </c>
      <c r="S159" s="217">
        <f t="shared" ca="1" si="23"/>
        <v>0</v>
      </c>
      <c r="T159" s="217">
        <f t="shared" ca="1" si="23"/>
        <v>0</v>
      </c>
      <c r="U159" s="217">
        <f t="shared" ca="1" si="18"/>
        <v>0</v>
      </c>
      <c r="V159" s="217">
        <f t="shared" ca="1" si="19"/>
        <v>0</v>
      </c>
    </row>
    <row r="160" spans="1:23" s="197" customFormat="1" ht="13.5">
      <c r="B160" s="197" t="s">
        <v>431</v>
      </c>
      <c r="C160" s="217">
        <f t="shared" ref="C160:T160" ca="1" si="24">IF(B160="","",SUMIF($B$4:$V$152,$B160,C$4:C$152))</f>
        <v>0</v>
      </c>
      <c r="D160" s="217">
        <f t="shared" ca="1" si="24"/>
        <v>0</v>
      </c>
      <c r="E160" s="217">
        <f t="shared" ca="1" si="24"/>
        <v>0</v>
      </c>
      <c r="F160" s="217">
        <f t="shared" ca="1" si="24"/>
        <v>0</v>
      </c>
      <c r="G160" s="217">
        <f t="shared" ca="1" si="24"/>
        <v>0</v>
      </c>
      <c r="H160" s="217">
        <f t="shared" ca="1" si="24"/>
        <v>0</v>
      </c>
      <c r="I160" s="217">
        <f t="shared" ca="1" si="24"/>
        <v>0</v>
      </c>
      <c r="J160" s="217">
        <f t="shared" ca="1" si="24"/>
        <v>0</v>
      </c>
      <c r="K160" s="217">
        <f t="shared" ca="1" si="24"/>
        <v>0</v>
      </c>
      <c r="L160" s="217">
        <f t="shared" ca="1" si="24"/>
        <v>0</v>
      </c>
      <c r="M160" s="217">
        <f t="shared" ca="1" si="24"/>
        <v>0</v>
      </c>
      <c r="N160" s="217">
        <f t="shared" ca="1" si="24"/>
        <v>0</v>
      </c>
      <c r="O160" s="217">
        <f t="shared" ca="1" si="24"/>
        <v>0</v>
      </c>
      <c r="P160" s="217">
        <f t="shared" ca="1" si="24"/>
        <v>0</v>
      </c>
      <c r="Q160" s="217">
        <f t="shared" ca="1" si="24"/>
        <v>0</v>
      </c>
      <c r="R160" s="217">
        <f t="shared" ca="1" si="24"/>
        <v>0</v>
      </c>
      <c r="S160" s="217">
        <f t="shared" ca="1" si="24"/>
        <v>0</v>
      </c>
      <c r="T160" s="217">
        <f t="shared" ca="1" si="24"/>
        <v>0</v>
      </c>
      <c r="U160" s="217">
        <f t="shared" ca="1" si="18"/>
        <v>0</v>
      </c>
      <c r="V160" s="217">
        <f t="shared" ca="1" si="19"/>
        <v>0</v>
      </c>
    </row>
    <row r="161" spans="2:22" s="197" customFormat="1" ht="13.5">
      <c r="B161" s="197" t="s">
        <v>432</v>
      </c>
      <c r="C161" s="217">
        <f t="shared" ref="C161:T161" ca="1" si="25">IF(B161="","",SUMIF($B$4:$V$152,$B161,C$4:C$152))</f>
        <v>0</v>
      </c>
      <c r="D161" s="217">
        <f t="shared" ca="1" si="25"/>
        <v>0</v>
      </c>
      <c r="E161" s="217">
        <f t="shared" ca="1" si="25"/>
        <v>0</v>
      </c>
      <c r="F161" s="217">
        <f t="shared" ca="1" si="25"/>
        <v>0</v>
      </c>
      <c r="G161" s="217">
        <f t="shared" ca="1" si="25"/>
        <v>0</v>
      </c>
      <c r="H161" s="217">
        <f t="shared" ca="1" si="25"/>
        <v>0</v>
      </c>
      <c r="I161" s="217">
        <f t="shared" ca="1" si="25"/>
        <v>0</v>
      </c>
      <c r="J161" s="217">
        <f t="shared" ca="1" si="25"/>
        <v>0</v>
      </c>
      <c r="K161" s="217">
        <f t="shared" ca="1" si="25"/>
        <v>0</v>
      </c>
      <c r="L161" s="217">
        <f t="shared" ca="1" si="25"/>
        <v>0</v>
      </c>
      <c r="M161" s="217">
        <f t="shared" ca="1" si="25"/>
        <v>0</v>
      </c>
      <c r="N161" s="217">
        <f t="shared" ca="1" si="25"/>
        <v>0</v>
      </c>
      <c r="O161" s="217">
        <f t="shared" ca="1" si="25"/>
        <v>0</v>
      </c>
      <c r="P161" s="217">
        <f t="shared" ca="1" si="25"/>
        <v>0</v>
      </c>
      <c r="Q161" s="217">
        <f t="shared" ca="1" si="25"/>
        <v>0</v>
      </c>
      <c r="R161" s="217">
        <f t="shared" ca="1" si="25"/>
        <v>0</v>
      </c>
      <c r="S161" s="217">
        <f t="shared" ca="1" si="25"/>
        <v>0</v>
      </c>
      <c r="T161" s="217">
        <f t="shared" ca="1" si="25"/>
        <v>0</v>
      </c>
      <c r="U161" s="217">
        <f t="shared" ca="1" si="18"/>
        <v>0</v>
      </c>
      <c r="V161" s="217">
        <f t="shared" ca="1" si="19"/>
        <v>0</v>
      </c>
    </row>
    <row r="162" spans="2:22" s="197" customFormat="1" ht="13.5">
      <c r="B162" s="197" t="s">
        <v>433</v>
      </c>
      <c r="C162" s="217">
        <f t="shared" ref="C162:T162" ca="1" si="26">IF(B162="","",SUMIF($B$4:$V$152,$B162,C$4:C$152))</f>
        <v>0</v>
      </c>
      <c r="D162" s="217">
        <f t="shared" ca="1" si="26"/>
        <v>0</v>
      </c>
      <c r="E162" s="217">
        <f t="shared" ca="1" si="26"/>
        <v>0</v>
      </c>
      <c r="F162" s="217">
        <f t="shared" ca="1" si="26"/>
        <v>0</v>
      </c>
      <c r="G162" s="217">
        <f t="shared" ca="1" si="26"/>
        <v>0</v>
      </c>
      <c r="H162" s="217">
        <f t="shared" ca="1" si="26"/>
        <v>0</v>
      </c>
      <c r="I162" s="217">
        <f t="shared" ca="1" si="26"/>
        <v>0</v>
      </c>
      <c r="J162" s="217">
        <f t="shared" ca="1" si="26"/>
        <v>0</v>
      </c>
      <c r="K162" s="217">
        <f t="shared" ca="1" si="26"/>
        <v>0</v>
      </c>
      <c r="L162" s="217">
        <f t="shared" ca="1" si="26"/>
        <v>0</v>
      </c>
      <c r="M162" s="217">
        <f t="shared" ca="1" si="26"/>
        <v>0</v>
      </c>
      <c r="N162" s="217">
        <f t="shared" ca="1" si="26"/>
        <v>0</v>
      </c>
      <c r="O162" s="217">
        <f t="shared" ca="1" si="26"/>
        <v>0</v>
      </c>
      <c r="P162" s="217">
        <f t="shared" ca="1" si="26"/>
        <v>0</v>
      </c>
      <c r="Q162" s="217">
        <f t="shared" ca="1" si="26"/>
        <v>0</v>
      </c>
      <c r="R162" s="217">
        <f t="shared" ca="1" si="26"/>
        <v>0</v>
      </c>
      <c r="S162" s="217">
        <f t="shared" ca="1" si="26"/>
        <v>0</v>
      </c>
      <c r="T162" s="217">
        <f t="shared" ca="1" si="26"/>
        <v>0</v>
      </c>
      <c r="U162" s="217">
        <f t="shared" ca="1" si="18"/>
        <v>0</v>
      </c>
      <c r="V162" s="217">
        <f t="shared" ca="1" si="19"/>
        <v>0</v>
      </c>
    </row>
    <row r="163" spans="2:22" s="197" customFormat="1" ht="13.5">
      <c r="B163" s="197" t="s">
        <v>434</v>
      </c>
      <c r="C163" s="217">
        <f t="shared" ref="C163:T163" ca="1" si="27">IF(B163="","",SUMIF($B$4:$V$152,$B163,C$4:C$152))</f>
        <v>0</v>
      </c>
      <c r="D163" s="217">
        <f t="shared" ca="1" si="27"/>
        <v>0</v>
      </c>
      <c r="E163" s="217">
        <f t="shared" ca="1" si="27"/>
        <v>0</v>
      </c>
      <c r="F163" s="217">
        <f t="shared" ca="1" si="27"/>
        <v>0</v>
      </c>
      <c r="G163" s="217">
        <f t="shared" ca="1" si="27"/>
        <v>0</v>
      </c>
      <c r="H163" s="217">
        <f t="shared" ca="1" si="27"/>
        <v>0</v>
      </c>
      <c r="I163" s="217">
        <f t="shared" ca="1" si="27"/>
        <v>0</v>
      </c>
      <c r="J163" s="217">
        <f t="shared" ca="1" si="27"/>
        <v>0</v>
      </c>
      <c r="K163" s="217">
        <f t="shared" ca="1" si="27"/>
        <v>0</v>
      </c>
      <c r="L163" s="217">
        <f t="shared" ca="1" si="27"/>
        <v>0</v>
      </c>
      <c r="M163" s="217">
        <f t="shared" ca="1" si="27"/>
        <v>0</v>
      </c>
      <c r="N163" s="217">
        <f t="shared" ca="1" si="27"/>
        <v>0</v>
      </c>
      <c r="O163" s="217">
        <f t="shared" ca="1" si="27"/>
        <v>0</v>
      </c>
      <c r="P163" s="217">
        <f t="shared" ca="1" si="27"/>
        <v>0</v>
      </c>
      <c r="Q163" s="217">
        <f t="shared" ca="1" si="27"/>
        <v>0</v>
      </c>
      <c r="R163" s="217">
        <f t="shared" ca="1" si="27"/>
        <v>0</v>
      </c>
      <c r="S163" s="217">
        <f t="shared" ca="1" si="27"/>
        <v>0</v>
      </c>
      <c r="T163" s="217">
        <f t="shared" ca="1" si="27"/>
        <v>0</v>
      </c>
      <c r="U163" s="217">
        <f t="shared" ca="1" si="18"/>
        <v>0</v>
      </c>
      <c r="V163" s="217">
        <f t="shared" ca="1" si="19"/>
        <v>0</v>
      </c>
    </row>
    <row r="164" spans="2:22" s="197" customFormat="1" ht="13.5">
      <c r="B164" s="197" t="s">
        <v>435</v>
      </c>
      <c r="C164" s="217">
        <f t="shared" ref="C164:T164" ca="1" si="28">IF(B164="","",SUMIF($B$4:$V$152,$B164,C$4:C$152))</f>
        <v>0</v>
      </c>
      <c r="D164" s="217">
        <f t="shared" ca="1" si="28"/>
        <v>0</v>
      </c>
      <c r="E164" s="217">
        <f t="shared" ca="1" si="28"/>
        <v>0</v>
      </c>
      <c r="F164" s="217">
        <f t="shared" ca="1" si="28"/>
        <v>0</v>
      </c>
      <c r="G164" s="217">
        <f t="shared" ca="1" si="28"/>
        <v>0</v>
      </c>
      <c r="H164" s="217">
        <f t="shared" ca="1" si="28"/>
        <v>0</v>
      </c>
      <c r="I164" s="217">
        <f t="shared" ca="1" si="28"/>
        <v>0</v>
      </c>
      <c r="J164" s="217">
        <f t="shared" ca="1" si="28"/>
        <v>0</v>
      </c>
      <c r="K164" s="217">
        <f t="shared" ca="1" si="28"/>
        <v>0</v>
      </c>
      <c r="L164" s="217">
        <f t="shared" ca="1" si="28"/>
        <v>0</v>
      </c>
      <c r="M164" s="217">
        <f t="shared" ca="1" si="28"/>
        <v>0</v>
      </c>
      <c r="N164" s="217">
        <f t="shared" ca="1" si="28"/>
        <v>0</v>
      </c>
      <c r="O164" s="217">
        <f t="shared" ca="1" si="28"/>
        <v>0</v>
      </c>
      <c r="P164" s="217">
        <f t="shared" ca="1" si="28"/>
        <v>0</v>
      </c>
      <c r="Q164" s="217">
        <f t="shared" ca="1" si="28"/>
        <v>0</v>
      </c>
      <c r="R164" s="217">
        <f t="shared" ca="1" si="28"/>
        <v>0</v>
      </c>
      <c r="S164" s="217">
        <f t="shared" ca="1" si="28"/>
        <v>0</v>
      </c>
      <c r="T164" s="217">
        <f t="shared" ca="1" si="28"/>
        <v>0</v>
      </c>
      <c r="U164" s="217">
        <f t="shared" ca="1" si="18"/>
        <v>0</v>
      </c>
      <c r="V164" s="217">
        <f t="shared" ca="1" si="19"/>
        <v>0</v>
      </c>
    </row>
    <row r="165" spans="2:22" s="197" customFormat="1" ht="13.5">
      <c r="B165" s="197" t="s">
        <v>436</v>
      </c>
      <c r="C165" s="217">
        <f t="shared" ref="C165:T165" ca="1" si="29">IF(B165="","",SUMIF($B$4:$V$152,$B165,C$4:C$152))</f>
        <v>0</v>
      </c>
      <c r="D165" s="217">
        <f t="shared" ca="1" si="29"/>
        <v>0</v>
      </c>
      <c r="E165" s="217">
        <f t="shared" ca="1" si="29"/>
        <v>0</v>
      </c>
      <c r="F165" s="217">
        <f t="shared" ca="1" si="29"/>
        <v>0</v>
      </c>
      <c r="G165" s="217">
        <f t="shared" ca="1" si="29"/>
        <v>0</v>
      </c>
      <c r="H165" s="217">
        <f t="shared" ca="1" si="29"/>
        <v>0</v>
      </c>
      <c r="I165" s="217">
        <f t="shared" ca="1" si="29"/>
        <v>0</v>
      </c>
      <c r="J165" s="217">
        <f t="shared" ca="1" si="29"/>
        <v>0</v>
      </c>
      <c r="K165" s="217">
        <f t="shared" ca="1" si="29"/>
        <v>0</v>
      </c>
      <c r="L165" s="217">
        <f t="shared" ca="1" si="29"/>
        <v>0</v>
      </c>
      <c r="M165" s="217">
        <f t="shared" ca="1" si="29"/>
        <v>0</v>
      </c>
      <c r="N165" s="217">
        <f t="shared" ca="1" si="29"/>
        <v>0</v>
      </c>
      <c r="O165" s="217">
        <f t="shared" ca="1" si="29"/>
        <v>0</v>
      </c>
      <c r="P165" s="217">
        <f t="shared" ca="1" si="29"/>
        <v>0</v>
      </c>
      <c r="Q165" s="217">
        <f t="shared" ca="1" si="29"/>
        <v>0</v>
      </c>
      <c r="R165" s="217">
        <f t="shared" ca="1" si="29"/>
        <v>0</v>
      </c>
      <c r="S165" s="217">
        <f t="shared" ca="1" si="29"/>
        <v>0</v>
      </c>
      <c r="T165" s="217">
        <f t="shared" ca="1" si="29"/>
        <v>0</v>
      </c>
      <c r="U165" s="217">
        <f t="shared" ca="1" si="18"/>
        <v>0</v>
      </c>
      <c r="V165" s="217">
        <f t="shared" ca="1" si="19"/>
        <v>0</v>
      </c>
    </row>
    <row r="166" spans="2:22" s="197" customFormat="1" ht="13.5">
      <c r="B166" s="197" t="s">
        <v>437</v>
      </c>
      <c r="C166" s="217">
        <f t="shared" ref="C166:T166" ca="1" si="30">IF(B166="","",SUMIF($B$4:$V$152,$B166,C$4:C$152))</f>
        <v>0</v>
      </c>
      <c r="D166" s="217">
        <f t="shared" ca="1" si="30"/>
        <v>0</v>
      </c>
      <c r="E166" s="217">
        <f t="shared" ca="1" si="30"/>
        <v>0</v>
      </c>
      <c r="F166" s="217">
        <f t="shared" ca="1" si="30"/>
        <v>0</v>
      </c>
      <c r="G166" s="217">
        <f t="shared" ca="1" si="30"/>
        <v>0</v>
      </c>
      <c r="H166" s="217">
        <f t="shared" ca="1" si="30"/>
        <v>0</v>
      </c>
      <c r="I166" s="217">
        <f t="shared" ca="1" si="30"/>
        <v>0</v>
      </c>
      <c r="J166" s="217">
        <f t="shared" ca="1" si="30"/>
        <v>0</v>
      </c>
      <c r="K166" s="217">
        <f t="shared" ca="1" si="30"/>
        <v>0</v>
      </c>
      <c r="L166" s="217">
        <f t="shared" ca="1" si="30"/>
        <v>0</v>
      </c>
      <c r="M166" s="217">
        <f t="shared" ca="1" si="30"/>
        <v>0</v>
      </c>
      <c r="N166" s="217">
        <f t="shared" ca="1" si="30"/>
        <v>0</v>
      </c>
      <c r="O166" s="217">
        <f t="shared" ca="1" si="30"/>
        <v>0</v>
      </c>
      <c r="P166" s="217">
        <f t="shared" ca="1" si="30"/>
        <v>0</v>
      </c>
      <c r="Q166" s="217">
        <f t="shared" ca="1" si="30"/>
        <v>0</v>
      </c>
      <c r="R166" s="217">
        <f t="shared" ca="1" si="30"/>
        <v>0</v>
      </c>
      <c r="S166" s="217">
        <f t="shared" ca="1" si="30"/>
        <v>0</v>
      </c>
      <c r="T166" s="217">
        <f t="shared" ca="1" si="30"/>
        <v>0</v>
      </c>
      <c r="U166" s="217">
        <f t="shared" ca="1" si="18"/>
        <v>0</v>
      </c>
      <c r="V166" s="217">
        <f t="shared" ca="1" si="19"/>
        <v>0</v>
      </c>
    </row>
    <row r="167" spans="2:22" s="197" customFormat="1" ht="13.5">
      <c r="B167" s="197" t="s">
        <v>438</v>
      </c>
      <c r="C167" s="217">
        <f t="shared" ref="C167:T167" ca="1" si="31">IF(B167="","",SUMIF($B$4:$V$152,$B167,C$4:C$152))</f>
        <v>0</v>
      </c>
      <c r="D167" s="217">
        <f t="shared" ca="1" si="31"/>
        <v>0</v>
      </c>
      <c r="E167" s="217">
        <f t="shared" ca="1" si="31"/>
        <v>0</v>
      </c>
      <c r="F167" s="217">
        <f t="shared" ca="1" si="31"/>
        <v>0</v>
      </c>
      <c r="G167" s="217">
        <f t="shared" ca="1" si="31"/>
        <v>0</v>
      </c>
      <c r="H167" s="217">
        <f t="shared" ca="1" si="31"/>
        <v>0</v>
      </c>
      <c r="I167" s="217">
        <f t="shared" ca="1" si="31"/>
        <v>0</v>
      </c>
      <c r="J167" s="217">
        <f t="shared" ca="1" si="31"/>
        <v>0</v>
      </c>
      <c r="K167" s="217">
        <f t="shared" ca="1" si="31"/>
        <v>0</v>
      </c>
      <c r="L167" s="217">
        <f t="shared" ca="1" si="31"/>
        <v>0</v>
      </c>
      <c r="M167" s="217">
        <f t="shared" ca="1" si="31"/>
        <v>0</v>
      </c>
      <c r="N167" s="217">
        <f t="shared" ca="1" si="31"/>
        <v>0</v>
      </c>
      <c r="O167" s="217">
        <f t="shared" ca="1" si="31"/>
        <v>0</v>
      </c>
      <c r="P167" s="217">
        <f t="shared" ca="1" si="31"/>
        <v>0</v>
      </c>
      <c r="Q167" s="217">
        <f t="shared" ca="1" si="31"/>
        <v>0</v>
      </c>
      <c r="R167" s="217">
        <f t="shared" ca="1" si="31"/>
        <v>0</v>
      </c>
      <c r="S167" s="217">
        <f t="shared" ca="1" si="31"/>
        <v>0</v>
      </c>
      <c r="T167" s="217">
        <f t="shared" ca="1" si="31"/>
        <v>0</v>
      </c>
      <c r="U167" s="217">
        <f t="shared" ca="1" si="18"/>
        <v>0</v>
      </c>
      <c r="V167" s="217">
        <f t="shared" ca="1" si="19"/>
        <v>0</v>
      </c>
    </row>
    <row r="168" spans="2:22" s="197" customFormat="1" ht="13.5">
      <c r="C168" s="217" t="str">
        <f t="shared" ref="C168:T168" si="32">IF(B168="","",SUMIF($B$4:$V$152,$B168,C$4:C$152))</f>
        <v/>
      </c>
      <c r="D168" s="217" t="str">
        <f t="shared" si="32"/>
        <v/>
      </c>
      <c r="E168" s="217" t="str">
        <f t="shared" si="32"/>
        <v/>
      </c>
      <c r="F168" s="217" t="str">
        <f t="shared" si="32"/>
        <v/>
      </c>
      <c r="G168" s="217" t="str">
        <f t="shared" si="32"/>
        <v/>
      </c>
      <c r="H168" s="217" t="str">
        <f t="shared" si="32"/>
        <v/>
      </c>
      <c r="I168" s="217" t="str">
        <f t="shared" si="32"/>
        <v/>
      </c>
      <c r="J168" s="217" t="str">
        <f t="shared" si="32"/>
        <v/>
      </c>
      <c r="K168" s="217" t="str">
        <f t="shared" si="32"/>
        <v/>
      </c>
      <c r="L168" s="217" t="str">
        <f t="shared" si="32"/>
        <v/>
      </c>
      <c r="M168" s="217" t="str">
        <f t="shared" si="32"/>
        <v/>
      </c>
      <c r="N168" s="217" t="str">
        <f t="shared" si="32"/>
        <v/>
      </c>
      <c r="O168" s="217" t="str">
        <f t="shared" si="32"/>
        <v/>
      </c>
      <c r="P168" s="217" t="str">
        <f t="shared" si="32"/>
        <v/>
      </c>
      <c r="Q168" s="217" t="str">
        <f t="shared" si="32"/>
        <v/>
      </c>
      <c r="R168" s="217" t="str">
        <f t="shared" si="32"/>
        <v/>
      </c>
      <c r="S168" s="217" t="str">
        <f t="shared" si="32"/>
        <v/>
      </c>
      <c r="T168" s="217" t="str">
        <f t="shared" si="32"/>
        <v/>
      </c>
      <c r="U168" s="217" t="str">
        <f t="shared" si="18"/>
        <v/>
      </c>
      <c r="V168" s="217" t="str">
        <f t="shared" si="19"/>
        <v/>
      </c>
    </row>
    <row r="169" spans="2:22" s="197" customFormat="1" ht="13.5">
      <c r="C169" s="217" t="str">
        <f t="shared" ref="C169:T169" si="33">IF(B169="","",SUMIF($B$4:$V$152,$B169,C$4:C$152))</f>
        <v/>
      </c>
      <c r="D169" s="217" t="str">
        <f t="shared" si="33"/>
        <v/>
      </c>
      <c r="E169" s="217" t="str">
        <f t="shared" si="33"/>
        <v/>
      </c>
      <c r="F169" s="217" t="str">
        <f t="shared" si="33"/>
        <v/>
      </c>
      <c r="G169" s="217" t="str">
        <f t="shared" si="33"/>
        <v/>
      </c>
      <c r="H169" s="217" t="str">
        <f t="shared" si="33"/>
        <v/>
      </c>
      <c r="I169" s="217" t="str">
        <f t="shared" si="33"/>
        <v/>
      </c>
      <c r="J169" s="217" t="str">
        <f t="shared" si="33"/>
        <v/>
      </c>
      <c r="K169" s="217" t="str">
        <f t="shared" si="33"/>
        <v/>
      </c>
      <c r="L169" s="217" t="str">
        <f t="shared" si="33"/>
        <v/>
      </c>
      <c r="M169" s="217" t="str">
        <f t="shared" si="33"/>
        <v/>
      </c>
      <c r="N169" s="217" t="str">
        <f t="shared" si="33"/>
        <v/>
      </c>
      <c r="O169" s="217" t="str">
        <f t="shared" si="33"/>
        <v/>
      </c>
      <c r="P169" s="217" t="str">
        <f t="shared" si="33"/>
        <v/>
      </c>
      <c r="Q169" s="217" t="str">
        <f t="shared" si="33"/>
        <v/>
      </c>
      <c r="R169" s="217" t="str">
        <f t="shared" si="33"/>
        <v/>
      </c>
      <c r="S169" s="217" t="str">
        <f t="shared" si="33"/>
        <v/>
      </c>
      <c r="T169" s="217" t="str">
        <f t="shared" si="33"/>
        <v/>
      </c>
      <c r="U169" s="217" t="str">
        <f t="shared" si="18"/>
        <v/>
      </c>
      <c r="V169" s="217" t="str">
        <f t="shared" si="19"/>
        <v/>
      </c>
    </row>
    <row r="170" spans="2:22" s="197" customFormat="1" ht="13.5">
      <c r="C170" s="217" t="str">
        <f t="shared" ref="C170:T170" si="34">IF(B170="","",SUMIF($B$4:$V$152,$B170,C$4:C$152))</f>
        <v/>
      </c>
      <c r="D170" s="217" t="str">
        <f t="shared" si="34"/>
        <v/>
      </c>
      <c r="E170" s="217" t="str">
        <f t="shared" si="34"/>
        <v/>
      </c>
      <c r="F170" s="217" t="str">
        <f t="shared" si="34"/>
        <v/>
      </c>
      <c r="G170" s="217" t="str">
        <f t="shared" si="34"/>
        <v/>
      </c>
      <c r="H170" s="217" t="str">
        <f t="shared" si="34"/>
        <v/>
      </c>
      <c r="I170" s="217" t="str">
        <f t="shared" si="34"/>
        <v/>
      </c>
      <c r="J170" s="217" t="str">
        <f t="shared" si="34"/>
        <v/>
      </c>
      <c r="K170" s="217" t="str">
        <f t="shared" si="34"/>
        <v/>
      </c>
      <c r="L170" s="217" t="str">
        <f t="shared" si="34"/>
        <v/>
      </c>
      <c r="M170" s="217" t="str">
        <f t="shared" si="34"/>
        <v/>
      </c>
      <c r="N170" s="217" t="str">
        <f t="shared" si="34"/>
        <v/>
      </c>
      <c r="O170" s="217" t="str">
        <f t="shared" si="34"/>
        <v/>
      </c>
      <c r="P170" s="217" t="str">
        <f t="shared" si="34"/>
        <v/>
      </c>
      <c r="Q170" s="217" t="str">
        <f t="shared" si="34"/>
        <v/>
      </c>
      <c r="R170" s="217" t="str">
        <f t="shared" si="34"/>
        <v/>
      </c>
      <c r="S170" s="217" t="str">
        <f t="shared" si="34"/>
        <v/>
      </c>
      <c r="T170" s="217" t="str">
        <f t="shared" si="34"/>
        <v/>
      </c>
      <c r="U170" s="217" t="str">
        <f t="shared" si="18"/>
        <v/>
      </c>
      <c r="V170" s="217" t="str">
        <f t="shared" si="19"/>
        <v/>
      </c>
    </row>
    <row r="171" spans="2:22" s="197" customFormat="1" ht="13.5">
      <c r="B171" s="245"/>
      <c r="C171" s="217" t="str">
        <f t="shared" ref="C171:T171" si="35">IF(B171="","",SUMIF($B$4:$V$152,$B171,C$4:C$152))</f>
        <v/>
      </c>
      <c r="D171" s="217" t="str">
        <f t="shared" si="35"/>
        <v/>
      </c>
      <c r="E171" s="217" t="str">
        <f t="shared" si="35"/>
        <v/>
      </c>
      <c r="F171" s="217" t="str">
        <f t="shared" si="35"/>
        <v/>
      </c>
      <c r="G171" s="217" t="str">
        <f t="shared" si="35"/>
        <v/>
      </c>
      <c r="H171" s="217" t="str">
        <f t="shared" si="35"/>
        <v/>
      </c>
      <c r="I171" s="217" t="str">
        <f t="shared" si="35"/>
        <v/>
      </c>
      <c r="J171" s="217" t="str">
        <f t="shared" si="35"/>
        <v/>
      </c>
      <c r="K171" s="217" t="str">
        <f t="shared" si="35"/>
        <v/>
      </c>
      <c r="L171" s="217" t="str">
        <f t="shared" si="35"/>
        <v/>
      </c>
      <c r="M171" s="217" t="str">
        <f t="shared" si="35"/>
        <v/>
      </c>
      <c r="N171" s="217" t="str">
        <f t="shared" si="35"/>
        <v/>
      </c>
      <c r="O171" s="217" t="str">
        <f t="shared" si="35"/>
        <v/>
      </c>
      <c r="P171" s="217" t="str">
        <f t="shared" si="35"/>
        <v/>
      </c>
      <c r="Q171" s="217" t="str">
        <f t="shared" si="35"/>
        <v/>
      </c>
      <c r="R171" s="217" t="str">
        <f t="shared" si="35"/>
        <v/>
      </c>
      <c r="S171" s="217" t="str">
        <f t="shared" si="35"/>
        <v/>
      </c>
      <c r="T171" s="217" t="str">
        <f t="shared" si="35"/>
        <v/>
      </c>
      <c r="U171" s="217" t="str">
        <f t="shared" si="18"/>
        <v/>
      </c>
      <c r="V171" s="217" t="str">
        <f t="shared" si="19"/>
        <v/>
      </c>
    </row>
    <row r="172" spans="2:22" s="197" customFormat="1" ht="13.5">
      <c r="C172" s="217" t="str">
        <f t="shared" ref="C172:T172" si="36">IF(B172="","",SUMIF($B$4:$V$152,$B172,C$4:C$152))</f>
        <v/>
      </c>
      <c r="D172" s="217" t="str">
        <f t="shared" si="36"/>
        <v/>
      </c>
      <c r="E172" s="217" t="str">
        <f t="shared" si="36"/>
        <v/>
      </c>
      <c r="F172" s="217" t="str">
        <f t="shared" si="36"/>
        <v/>
      </c>
      <c r="G172" s="217" t="str">
        <f t="shared" si="36"/>
        <v/>
      </c>
      <c r="H172" s="217" t="str">
        <f t="shared" si="36"/>
        <v/>
      </c>
      <c r="I172" s="217" t="str">
        <f t="shared" si="36"/>
        <v/>
      </c>
      <c r="J172" s="217" t="str">
        <f t="shared" si="36"/>
        <v/>
      </c>
      <c r="K172" s="217" t="str">
        <f t="shared" si="36"/>
        <v/>
      </c>
      <c r="L172" s="217" t="str">
        <f t="shared" si="36"/>
        <v/>
      </c>
      <c r="M172" s="217" t="str">
        <f t="shared" si="36"/>
        <v/>
      </c>
      <c r="N172" s="217" t="str">
        <f t="shared" si="36"/>
        <v/>
      </c>
      <c r="O172" s="217" t="str">
        <f t="shared" si="36"/>
        <v/>
      </c>
      <c r="P172" s="217" t="str">
        <f t="shared" si="36"/>
        <v/>
      </c>
      <c r="Q172" s="217" t="str">
        <f t="shared" si="36"/>
        <v/>
      </c>
      <c r="R172" s="217" t="str">
        <f t="shared" si="36"/>
        <v/>
      </c>
      <c r="S172" s="217" t="str">
        <f t="shared" si="36"/>
        <v/>
      </c>
      <c r="T172" s="217" t="str">
        <f t="shared" si="36"/>
        <v/>
      </c>
      <c r="U172" s="217" t="str">
        <f t="shared" si="18"/>
        <v/>
      </c>
      <c r="V172" s="217" t="str">
        <f t="shared" si="19"/>
        <v/>
      </c>
    </row>
    <row r="173" spans="2:22" s="197" customFormat="1" ht="13.5">
      <c r="B173" s="197" t="s">
        <v>177</v>
      </c>
      <c r="C173" s="217">
        <f t="shared" ref="C173:V173" ca="1" si="37">SUM(C155:C172)</f>
        <v>963780</v>
      </c>
      <c r="D173" s="217">
        <f t="shared" ca="1" si="37"/>
        <v>96190</v>
      </c>
      <c r="E173" s="217">
        <f t="shared" ca="1" si="37"/>
        <v>1051580</v>
      </c>
      <c r="F173" s="217">
        <f t="shared" ca="1" si="37"/>
        <v>205810</v>
      </c>
      <c r="G173" s="217">
        <f t="shared" ca="1" si="37"/>
        <v>244310</v>
      </c>
      <c r="H173" s="217">
        <f t="shared" ca="1" si="37"/>
        <v>-66000</v>
      </c>
      <c r="I173" s="217">
        <f t="shared" ca="1" si="37"/>
        <v>-6770</v>
      </c>
      <c r="J173" s="217">
        <f t="shared" ca="1" si="37"/>
        <v>23240</v>
      </c>
      <c r="K173" s="217">
        <f t="shared" ca="1" si="37"/>
        <v>273590</v>
      </c>
      <c r="L173" s="217">
        <f t="shared" ca="1" si="37"/>
        <v>21030</v>
      </c>
      <c r="M173" s="217">
        <f t="shared" ca="1" si="37"/>
        <v>2806760</v>
      </c>
      <c r="N173" s="217">
        <f t="shared" ca="1" si="37"/>
        <v>977280</v>
      </c>
      <c r="O173" s="217">
        <f t="shared" ca="1" si="37"/>
        <v>109570</v>
      </c>
      <c r="P173" s="217">
        <f t="shared" ca="1" si="37"/>
        <v>1266140</v>
      </c>
      <c r="Q173" s="217">
        <f t="shared" ca="1" si="37"/>
        <v>228950</v>
      </c>
      <c r="R173" s="217">
        <f t="shared" ca="1" si="37"/>
        <v>-66000</v>
      </c>
      <c r="S173" s="217">
        <f t="shared" ca="1" si="37"/>
        <v>-6770</v>
      </c>
      <c r="T173" s="217">
        <f t="shared" ca="1" si="37"/>
        <v>11260</v>
      </c>
      <c r="U173" s="217">
        <f t="shared" ca="1" si="37"/>
        <v>2520430</v>
      </c>
      <c r="V173" s="217">
        <f t="shared" ca="1" si="37"/>
        <v>5327190</v>
      </c>
    </row>
    <row r="174" spans="2:22" s="197" customFormat="1" ht="13.5">
      <c r="C174" s="217">
        <f t="shared" ref="C174:V174" si="38">SUM(C4:C152)</f>
        <v>2592620</v>
      </c>
      <c r="D174" s="217">
        <f t="shared" si="38"/>
        <v>282370</v>
      </c>
      <c r="E174" s="217">
        <f t="shared" si="38"/>
        <v>2743960</v>
      </c>
      <c r="F174" s="217">
        <f t="shared" si="38"/>
        <v>522660</v>
      </c>
      <c r="G174" s="217">
        <f t="shared" si="38"/>
        <v>592000</v>
      </c>
      <c r="H174" s="217">
        <f t="shared" si="38"/>
        <v>-243590</v>
      </c>
      <c r="I174" s="217">
        <f t="shared" si="38"/>
        <v>-24930</v>
      </c>
      <c r="J174" s="217">
        <f t="shared" si="38"/>
        <v>239330</v>
      </c>
      <c r="K174" s="217">
        <f t="shared" si="38"/>
        <v>814510</v>
      </c>
      <c r="L174" s="217">
        <f t="shared" si="38"/>
        <v>54740</v>
      </c>
      <c r="M174" s="217">
        <f t="shared" si="38"/>
        <v>7573670</v>
      </c>
      <c r="N174" s="217">
        <f t="shared" si="38"/>
        <v>2651380</v>
      </c>
      <c r="O174" s="217">
        <f t="shared" si="38"/>
        <v>297410</v>
      </c>
      <c r="P174" s="217">
        <f t="shared" si="38"/>
        <v>3141850</v>
      </c>
      <c r="Q174" s="217">
        <f t="shared" si="38"/>
        <v>530460</v>
      </c>
      <c r="R174" s="217">
        <f t="shared" si="38"/>
        <v>-243590</v>
      </c>
      <c r="S174" s="217">
        <f t="shared" si="38"/>
        <v>-24930</v>
      </c>
      <c r="T174" s="217">
        <f t="shared" si="38"/>
        <v>116030</v>
      </c>
      <c r="U174" s="217">
        <f t="shared" si="38"/>
        <v>6468610</v>
      </c>
      <c r="V174" s="217">
        <f t="shared" si="38"/>
        <v>14042280</v>
      </c>
    </row>
    <row r="175" spans="2:22">
      <c r="C175" s="217">
        <f ca="1">C173-C174</f>
        <v>-1628840</v>
      </c>
      <c r="D175" s="217">
        <f t="shared" ref="D175:V175" ca="1" si="39">D173-D174</f>
        <v>-186180</v>
      </c>
      <c r="E175" s="217">
        <f t="shared" ca="1" si="39"/>
        <v>-1692380</v>
      </c>
      <c r="F175" s="217">
        <f t="shared" ca="1" si="39"/>
        <v>-316850</v>
      </c>
      <c r="G175" s="217">
        <f t="shared" ca="1" si="39"/>
        <v>-347690</v>
      </c>
      <c r="H175" s="217">
        <f t="shared" ca="1" si="39"/>
        <v>177590</v>
      </c>
      <c r="I175" s="217">
        <f t="shared" ca="1" si="39"/>
        <v>18160</v>
      </c>
      <c r="J175" s="217">
        <f t="shared" ca="1" si="39"/>
        <v>-216090</v>
      </c>
      <c r="K175" s="217">
        <f t="shared" ca="1" si="39"/>
        <v>-540920</v>
      </c>
      <c r="L175" s="217">
        <f t="shared" ca="1" si="39"/>
        <v>-33710</v>
      </c>
      <c r="M175" s="217">
        <f t="shared" ca="1" si="39"/>
        <v>-4766910</v>
      </c>
      <c r="N175" s="217">
        <f t="shared" ca="1" si="39"/>
        <v>-1674100</v>
      </c>
      <c r="O175" s="217">
        <f t="shared" ca="1" si="39"/>
        <v>-187840</v>
      </c>
      <c r="P175" s="217">
        <f t="shared" ca="1" si="39"/>
        <v>-1875710</v>
      </c>
      <c r="Q175" s="217">
        <f t="shared" ca="1" si="39"/>
        <v>-301510</v>
      </c>
      <c r="R175" s="217">
        <f t="shared" ca="1" si="39"/>
        <v>177590</v>
      </c>
      <c r="S175" s="217">
        <f t="shared" ca="1" si="39"/>
        <v>18160</v>
      </c>
      <c r="T175" s="217">
        <f ca="1">T173-T174</f>
        <v>-104770</v>
      </c>
      <c r="U175" s="217">
        <f t="shared" ca="1" si="39"/>
        <v>-3948180</v>
      </c>
      <c r="V175" s="217">
        <f t="shared" ca="1" si="39"/>
        <v>-8715090</v>
      </c>
    </row>
    <row r="176" spans="2:22">
      <c r="C176" s="217"/>
      <c r="D176" s="217"/>
      <c r="E176" s="217"/>
      <c r="F176" s="217"/>
      <c r="G176" s="217"/>
      <c r="H176" s="217"/>
      <c r="I176" s="217"/>
      <c r="J176" s="217"/>
      <c r="K176" s="217"/>
      <c r="L176" s="217"/>
      <c r="M176" s="217"/>
      <c r="N176" s="217"/>
      <c r="O176" s="217"/>
      <c r="P176" s="217"/>
      <c r="Q176" s="217"/>
      <c r="R176" s="217"/>
      <c r="S176" s="217"/>
      <c r="T176" s="217"/>
      <c r="U176" s="217"/>
      <c r="V176" s="217"/>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0" spans="2:2">
      <c r="B240"/>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row r="316" spans="2:2">
      <c r="B316"/>
    </row>
    <row r="317" spans="2:2">
      <c r="B317"/>
    </row>
    <row r="318" spans="2:2">
      <c r="B318"/>
    </row>
    <row r="319" spans="2:2">
      <c r="B319"/>
    </row>
    <row r="320" spans="2:2">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sheetData>
  <mergeCells count="5">
    <mergeCell ref="A2:A3"/>
    <mergeCell ref="B2:B3"/>
    <mergeCell ref="C2:M2"/>
    <mergeCell ref="N2:U2"/>
    <mergeCell ref="V2:V3"/>
  </mergeCells>
  <phoneticPr fontId="3" type="noConversion"/>
  <printOptions horizontalCentered="1"/>
  <pageMargins left="0.39370078740157483" right="0.22" top="0.51181102362204722" bottom="0.47244094488188981" header="0.31496062992125984" footer="0.31496062992125984"/>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499984740745262"/>
    <pageSetUpPr fitToPage="1"/>
  </sheetPr>
  <dimension ref="A1:Y78"/>
  <sheetViews>
    <sheetView showZeros="0" view="pageBreakPreview" zoomScaleNormal="100" zoomScaleSheetLayoutView="100" workbookViewId="0">
      <pane xSplit="5" ySplit="3" topLeftCell="F4" activePane="bottomRight" state="frozen"/>
      <selection activeCell="E51" sqref="E51"/>
      <selection pane="topRight" activeCell="E51" sqref="E51"/>
      <selection pane="bottomLeft" activeCell="E51" sqref="E51"/>
      <selection pane="bottomRight" activeCell="O2" sqref="O2"/>
    </sheetView>
  </sheetViews>
  <sheetFormatPr defaultRowHeight="13.5"/>
  <cols>
    <col min="1" max="1" width="8" style="197" customWidth="1"/>
    <col min="2" max="2" width="13.33203125" style="197" customWidth="1"/>
    <col min="3" max="3" width="10.6640625" style="197" customWidth="1"/>
    <col min="4" max="4" width="8.5546875" style="197" customWidth="1"/>
    <col min="5" max="5" width="8.44140625" style="197" customWidth="1"/>
    <col min="6" max="6" width="8.5546875" style="197" customWidth="1"/>
    <col min="7" max="7" width="7.44140625" style="197" customWidth="1"/>
    <col min="8" max="8" width="6.88671875" style="197" customWidth="1"/>
    <col min="9" max="9" width="6.5546875" style="197" customWidth="1"/>
    <col min="10" max="10" width="6.6640625" style="197" customWidth="1"/>
    <col min="11" max="11" width="8.33203125" style="197" customWidth="1"/>
    <col min="12" max="12" width="6.21875" style="197" customWidth="1"/>
    <col min="13" max="14" width="5.33203125" style="197" customWidth="1"/>
    <col min="15" max="15" width="8" style="197" customWidth="1"/>
    <col min="16" max="16" width="9.21875" style="197" customWidth="1"/>
    <col min="17" max="17" width="5" style="197" customWidth="1"/>
    <col min="18" max="18" width="2.109375" style="197" customWidth="1"/>
    <col min="19" max="19" width="10.44140625" style="197" bestFit="1" customWidth="1"/>
    <col min="20" max="20" width="8.88671875" style="197"/>
    <col min="21" max="21" width="11.5546875" style="197" customWidth="1"/>
    <col min="22" max="16384" width="8.88671875" style="197"/>
  </cols>
  <sheetData>
    <row r="1" spans="1:25" ht="37.5" customHeight="1">
      <c r="A1" s="327" t="str">
        <f ca="1">REPLACE(CELL("filename",A1),1,FIND("]",CELL("filename",A1)),"")</f>
        <v>2021통상임금</v>
      </c>
      <c r="B1" s="328"/>
      <c r="C1" s="328"/>
      <c r="D1" s="328"/>
      <c r="E1" s="328"/>
      <c r="F1" s="328"/>
      <c r="G1" s="328"/>
      <c r="H1" s="328"/>
      <c r="I1" s="328"/>
      <c r="J1" s="328"/>
      <c r="K1" s="328"/>
      <c r="L1" s="328"/>
      <c r="M1" s="328"/>
      <c r="N1" s="328"/>
      <c r="O1" s="328"/>
      <c r="P1" s="328"/>
      <c r="Q1" s="328"/>
    </row>
    <row r="2" spans="1:25" ht="16.5" customHeight="1">
      <c r="O2" s="197" t="s">
        <v>224</v>
      </c>
      <c r="S2" s="197" t="s">
        <v>225</v>
      </c>
    </row>
    <row r="3" spans="1:25" ht="41.25" customHeight="1">
      <c r="A3" s="329" t="s">
        <v>226</v>
      </c>
      <c r="B3" s="329" t="s">
        <v>227</v>
      </c>
      <c r="C3" s="329" t="s">
        <v>228</v>
      </c>
      <c r="D3" s="329" t="s">
        <v>229</v>
      </c>
      <c r="E3" s="330" t="s">
        <v>230</v>
      </c>
      <c r="F3" s="273" t="s">
        <v>231</v>
      </c>
      <c r="G3" s="250" t="s">
        <v>232</v>
      </c>
      <c r="H3" s="250" t="s">
        <v>233</v>
      </c>
      <c r="I3" s="250" t="s">
        <v>409</v>
      </c>
      <c r="J3" s="250" t="s">
        <v>418</v>
      </c>
      <c r="K3" s="331" t="s">
        <v>234</v>
      </c>
      <c r="L3" s="250" t="s">
        <v>235</v>
      </c>
      <c r="M3" s="250" t="s">
        <v>236</v>
      </c>
      <c r="N3" s="250" t="s">
        <v>237</v>
      </c>
      <c r="O3" s="250" t="s">
        <v>238</v>
      </c>
      <c r="P3" s="332" t="s">
        <v>239</v>
      </c>
      <c r="Q3" s="250" t="s">
        <v>240</v>
      </c>
      <c r="S3" s="333">
        <f>(40+8)*52/12</f>
        <v>208</v>
      </c>
      <c r="T3" s="334">
        <f>(40+8+8)*52/12</f>
        <v>242.66666666666666</v>
      </c>
      <c r="U3" s="335" t="s">
        <v>491</v>
      </c>
    </row>
    <row r="4" spans="1:25" ht="26.1" customHeight="1">
      <c r="A4" s="336" t="str">
        <f>입력!B4</f>
        <v>행정실1</v>
      </c>
      <c r="B4" s="337" t="str">
        <f t="shared" ref="B4:J4" ca="1" si="0">IF($A4="",0,INDEX(INDIRECT(B$3),MATCH($A4,명부,0)))</f>
        <v>특수운영직군(청소원)</v>
      </c>
      <c r="C4" s="111" t="str">
        <f t="shared" ca="1" si="0"/>
        <v>상시근무자</v>
      </c>
      <c r="D4" s="74">
        <f t="shared" ca="1" si="0"/>
        <v>43374</v>
      </c>
      <c r="E4" s="74">
        <f t="shared" ca="1" si="0"/>
        <v>43374</v>
      </c>
      <c r="F4" s="90">
        <f t="shared" ca="1" si="0"/>
        <v>1265000</v>
      </c>
      <c r="G4" s="90">
        <f t="shared" ca="1" si="0"/>
        <v>0</v>
      </c>
      <c r="H4" s="90">
        <f t="shared" ca="1" si="0"/>
        <v>0</v>
      </c>
      <c r="I4" s="90">
        <f t="shared" ca="1" si="0"/>
        <v>140000</v>
      </c>
      <c r="J4" s="90">
        <f t="shared" ca="1" si="0"/>
        <v>0</v>
      </c>
      <c r="K4" s="90">
        <f ca="1">SUM(F4:J4)</f>
        <v>1405000</v>
      </c>
      <c r="L4" s="547">
        <f>209*27.5/40</f>
        <v>143.6875</v>
      </c>
      <c r="M4" s="90">
        <f ca="1">K4/L4</f>
        <v>9778.1644193127449</v>
      </c>
      <c r="N4" s="338">
        <f ca="1">IF($A4="",0,INDEX(INDIRECT(N$3),MATCH($A4,명부,0)))</f>
        <v>27.5</v>
      </c>
      <c r="O4" s="339">
        <f t="shared" ref="O4:O13" ca="1" si="1">ROUNDDOWN(M4*8*N4/40,0)</f>
        <v>53779</v>
      </c>
      <c r="P4" s="90">
        <f ca="1">ROUNDDOWN(O4*1.5,-1)</f>
        <v>80660</v>
      </c>
      <c r="Q4" s="340"/>
    </row>
    <row r="5" spans="1:25" ht="26.1" customHeight="1">
      <c r="A5" s="336" t="str">
        <f>입력!B5</f>
        <v>행정실2</v>
      </c>
      <c r="B5" s="337" t="str">
        <f t="shared" ref="B5:C15" ca="1" si="2">IF($A5="",0,INDEX(INDIRECT(B$3),MATCH($A5,명부,0)))</f>
        <v>돌봄전담사</v>
      </c>
      <c r="C5" s="111" t="str">
        <f t="shared" ca="1" si="2"/>
        <v>상시근무자</v>
      </c>
      <c r="D5" s="74">
        <f t="shared" ref="D5:D13" ca="1" si="3">IF($A5="",0,INDEX(INDIRECT(D$3),MATCH($A5,명부,0)))</f>
        <v>41701</v>
      </c>
      <c r="E5" s="74">
        <f t="shared" ref="E5:J13" ca="1" si="4">IF($A5="",0,INDEX(INDIRECT(E$3),MATCH($A5,명부,0)))</f>
        <v>43160</v>
      </c>
      <c r="F5" s="90">
        <f t="shared" ca="1" si="4"/>
        <v>920000</v>
      </c>
      <c r="G5" s="90">
        <f t="shared" ca="1" si="4"/>
        <v>52500</v>
      </c>
      <c r="H5" s="90">
        <f t="shared" ca="1" si="4"/>
        <v>0</v>
      </c>
      <c r="I5" s="90">
        <f t="shared" ca="1" si="4"/>
        <v>140000</v>
      </c>
      <c r="J5" s="90">
        <f t="shared" ca="1" si="4"/>
        <v>0</v>
      </c>
      <c r="K5" s="90">
        <f t="shared" ref="K5:K13" ca="1" si="5">SUM(F5:J5)</f>
        <v>1112500</v>
      </c>
      <c r="L5" s="547">
        <f>209/2</f>
        <v>104.5</v>
      </c>
      <c r="M5" s="90">
        <f t="shared" ref="M5:M13" ca="1" si="6">K5/L5</f>
        <v>10645.933014354066</v>
      </c>
      <c r="N5" s="338">
        <f t="shared" ref="N5:N14" ca="1" si="7">IF($A5="",0,INDEX(INDIRECT(N$3),MATCH($A5,명부,0)))</f>
        <v>20</v>
      </c>
      <c r="O5" s="339">
        <f t="shared" ca="1" si="1"/>
        <v>42583</v>
      </c>
      <c r="P5" s="90">
        <f ca="1">ROUNDDOWN(O5*1.5,-1)</f>
        <v>63870</v>
      </c>
      <c r="Q5" s="340"/>
      <c r="S5" s="341" t="s">
        <v>241</v>
      </c>
      <c r="T5" s="342"/>
      <c r="U5" s="343"/>
      <c r="V5" s="343"/>
      <c r="W5" s="343"/>
      <c r="X5" s="343"/>
      <c r="Y5" s="344"/>
    </row>
    <row r="6" spans="1:25" ht="26.1" customHeight="1">
      <c r="A6" s="336" t="str">
        <f>입력!B6</f>
        <v>행정실3</v>
      </c>
      <c r="B6" s="337" t="str">
        <f t="shared" ca="1" si="2"/>
        <v>돌봄전담사</v>
      </c>
      <c r="C6" s="111" t="str">
        <f t="shared" ca="1" si="2"/>
        <v>상시근무자</v>
      </c>
      <c r="D6" s="74">
        <f t="shared" ca="1" si="3"/>
        <v>40970</v>
      </c>
      <c r="E6" s="74">
        <f t="shared" ca="1" si="4"/>
        <v>40970</v>
      </c>
      <c r="F6" s="90">
        <f t="shared" ca="1" si="4"/>
        <v>1150000</v>
      </c>
      <c r="G6" s="90">
        <f t="shared" ca="1" si="4"/>
        <v>262500</v>
      </c>
      <c r="H6" s="90">
        <f t="shared" ca="1" si="4"/>
        <v>0</v>
      </c>
      <c r="I6" s="90">
        <f t="shared" ca="1" si="4"/>
        <v>140000</v>
      </c>
      <c r="J6" s="90">
        <f t="shared" ca="1" si="4"/>
        <v>0</v>
      </c>
      <c r="K6" s="90">
        <f t="shared" ca="1" si="5"/>
        <v>1552500</v>
      </c>
      <c r="L6" s="547">
        <f>209*25/40</f>
        <v>130.625</v>
      </c>
      <c r="M6" s="90">
        <f t="shared" ca="1" si="6"/>
        <v>11885.167464114833</v>
      </c>
      <c r="N6" s="338">
        <f t="shared" ca="1" si="7"/>
        <v>25</v>
      </c>
      <c r="O6" s="339">
        <f t="shared" ca="1" si="1"/>
        <v>59425</v>
      </c>
      <c r="P6" s="90">
        <f t="shared" ref="P6:P14" ca="1" si="8">ROUNDDOWN(O6*1.5,-1)</f>
        <v>89130</v>
      </c>
      <c r="Q6" s="340"/>
      <c r="S6" s="345" t="s">
        <v>242</v>
      </c>
      <c r="T6" s="346"/>
      <c r="U6" s="272"/>
      <c r="V6" s="272"/>
      <c r="W6" s="272"/>
      <c r="X6" s="272"/>
      <c r="Y6" s="347"/>
    </row>
    <row r="7" spans="1:25" ht="26.1" customHeight="1">
      <c r="A7" s="336" t="str">
        <f>입력!B7</f>
        <v>행정실4</v>
      </c>
      <c r="B7" s="337" t="str">
        <f t="shared" ca="1" si="2"/>
        <v>조리원</v>
      </c>
      <c r="C7" s="111" t="str">
        <f t="shared" ca="1" si="2"/>
        <v>방학중 비근무자</v>
      </c>
      <c r="D7" s="74">
        <f t="shared" ca="1" si="3"/>
        <v>36564</v>
      </c>
      <c r="E7" s="74">
        <f t="shared" ca="1" si="4"/>
        <v>39356</v>
      </c>
      <c r="F7" s="90">
        <f t="shared" ca="1" si="4"/>
        <v>1840000</v>
      </c>
      <c r="G7" s="90">
        <f t="shared" ca="1" si="4"/>
        <v>700000</v>
      </c>
      <c r="H7" s="90">
        <f t="shared" ca="1" si="4"/>
        <v>0</v>
      </c>
      <c r="I7" s="90">
        <f t="shared" ca="1" si="4"/>
        <v>140000</v>
      </c>
      <c r="J7" s="90">
        <f t="shared" ca="1" si="4"/>
        <v>50000</v>
      </c>
      <c r="K7" s="90">
        <f t="shared" ca="1" si="5"/>
        <v>2730000</v>
      </c>
      <c r="L7" s="90">
        <v>209</v>
      </c>
      <c r="M7" s="90">
        <f t="shared" ca="1" si="6"/>
        <v>13062.200956937799</v>
      </c>
      <c r="N7" s="338">
        <f t="shared" ca="1" si="7"/>
        <v>40</v>
      </c>
      <c r="O7" s="339">
        <f t="shared" ca="1" si="1"/>
        <v>104497</v>
      </c>
      <c r="P7" s="90">
        <f t="shared" ca="1" si="8"/>
        <v>156740</v>
      </c>
      <c r="Q7" s="340"/>
      <c r="S7" s="348" t="s">
        <v>243</v>
      </c>
      <c r="T7" s="349"/>
      <c r="U7" s="350"/>
      <c r="V7" s="350"/>
      <c r="W7" s="350"/>
      <c r="X7" s="350"/>
      <c r="Y7" s="351"/>
    </row>
    <row r="8" spans="1:25" ht="26.1" customHeight="1">
      <c r="A8" s="336" t="str">
        <f>입력!B8</f>
        <v>행정실5</v>
      </c>
      <c r="B8" s="337" t="str">
        <f t="shared" ca="1" si="2"/>
        <v>조리원</v>
      </c>
      <c r="C8" s="111" t="str">
        <f t="shared" ca="1" si="2"/>
        <v>방학중 비근무자</v>
      </c>
      <c r="D8" s="74">
        <f t="shared" ca="1" si="3"/>
        <v>38777</v>
      </c>
      <c r="E8" s="74">
        <f t="shared" ca="1" si="4"/>
        <v>38777</v>
      </c>
      <c r="F8" s="90">
        <f t="shared" ca="1" si="4"/>
        <v>1840000</v>
      </c>
      <c r="G8" s="90">
        <f t="shared" ca="1" si="4"/>
        <v>630000</v>
      </c>
      <c r="H8" s="90">
        <f t="shared" ca="1" si="4"/>
        <v>0</v>
      </c>
      <c r="I8" s="90">
        <f t="shared" ca="1" si="4"/>
        <v>140000</v>
      </c>
      <c r="J8" s="90">
        <f t="shared" ca="1" si="4"/>
        <v>50000</v>
      </c>
      <c r="K8" s="90">
        <f t="shared" ca="1" si="5"/>
        <v>2660000</v>
      </c>
      <c r="L8" s="90">
        <v>209</v>
      </c>
      <c r="M8" s="90">
        <f t="shared" ca="1" si="6"/>
        <v>12727.272727272728</v>
      </c>
      <c r="N8" s="338">
        <f t="shared" ca="1" si="7"/>
        <v>40</v>
      </c>
      <c r="O8" s="339">
        <f t="shared" ca="1" si="1"/>
        <v>101818</v>
      </c>
      <c r="P8" s="90">
        <f t="shared" ca="1" si="8"/>
        <v>152720</v>
      </c>
      <c r="Q8" s="340"/>
      <c r="S8" s="352">
        <f>(40+8)*365/7/12</f>
        <v>208.57142857142856</v>
      </c>
      <c r="T8" s="352">
        <f>(40+8+8)*365/7/12</f>
        <v>243.33333333333334</v>
      </c>
    </row>
    <row r="9" spans="1:25" ht="26.1" customHeight="1">
      <c r="A9" s="336" t="str">
        <f>입력!B9</f>
        <v>행정실6</v>
      </c>
      <c r="B9" s="337" t="str">
        <f t="shared" ca="1" si="2"/>
        <v>조리원</v>
      </c>
      <c r="C9" s="111" t="str">
        <f t="shared" ca="1" si="2"/>
        <v>방학중 비근무자</v>
      </c>
      <c r="D9" s="74">
        <f t="shared" ca="1" si="3"/>
        <v>38022</v>
      </c>
      <c r="E9" s="74">
        <f t="shared" ca="1" si="4"/>
        <v>38047</v>
      </c>
      <c r="F9" s="90">
        <f t="shared" ca="1" si="4"/>
        <v>1840000</v>
      </c>
      <c r="G9" s="90">
        <f t="shared" ca="1" si="4"/>
        <v>700000</v>
      </c>
      <c r="H9" s="90">
        <f t="shared" ca="1" si="4"/>
        <v>0</v>
      </c>
      <c r="I9" s="90">
        <f t="shared" ca="1" si="4"/>
        <v>140000</v>
      </c>
      <c r="J9" s="90">
        <f t="shared" ca="1" si="4"/>
        <v>50000</v>
      </c>
      <c r="K9" s="90">
        <f t="shared" ca="1" si="5"/>
        <v>2730000</v>
      </c>
      <c r="L9" s="90">
        <v>209</v>
      </c>
      <c r="M9" s="90">
        <f t="shared" ca="1" si="6"/>
        <v>13062.200956937799</v>
      </c>
      <c r="N9" s="338">
        <f t="shared" ca="1" si="7"/>
        <v>40</v>
      </c>
      <c r="O9" s="339">
        <f t="shared" ca="1" si="1"/>
        <v>104497</v>
      </c>
      <c r="P9" s="90">
        <f t="shared" ca="1" si="8"/>
        <v>156740</v>
      </c>
      <c r="Q9" s="340"/>
      <c r="S9" s="352">
        <f>209/2</f>
        <v>104.5</v>
      </c>
    </row>
    <row r="10" spans="1:25" ht="26.1" customHeight="1">
      <c r="A10" s="336" t="str">
        <f>입력!B10</f>
        <v>행정실7</v>
      </c>
      <c r="B10" s="337" t="str">
        <f t="shared" ca="1" si="2"/>
        <v>조리원</v>
      </c>
      <c r="C10" s="111" t="str">
        <f t="shared" ca="1" si="2"/>
        <v>방학중 비근무자</v>
      </c>
      <c r="D10" s="74">
        <f t="shared" ca="1" si="3"/>
        <v>38018</v>
      </c>
      <c r="E10" s="74">
        <f t="shared" ca="1" si="4"/>
        <v>38047</v>
      </c>
      <c r="F10" s="90">
        <f t="shared" ca="1" si="4"/>
        <v>1840000</v>
      </c>
      <c r="G10" s="90">
        <f t="shared" ca="1" si="4"/>
        <v>700000</v>
      </c>
      <c r="H10" s="90">
        <f t="shared" ca="1" si="4"/>
        <v>0</v>
      </c>
      <c r="I10" s="90">
        <f t="shared" ca="1" si="4"/>
        <v>140000</v>
      </c>
      <c r="J10" s="90">
        <f t="shared" ca="1" si="4"/>
        <v>50000</v>
      </c>
      <c r="K10" s="90">
        <f t="shared" ca="1" si="5"/>
        <v>2730000</v>
      </c>
      <c r="L10" s="90">
        <v>209</v>
      </c>
      <c r="M10" s="90">
        <f t="shared" ca="1" si="6"/>
        <v>13062.200956937799</v>
      </c>
      <c r="N10" s="338">
        <f t="shared" ca="1" si="7"/>
        <v>40</v>
      </c>
      <c r="O10" s="339">
        <f t="shared" ca="1" si="1"/>
        <v>104497</v>
      </c>
      <c r="P10" s="90">
        <f t="shared" ca="1" si="8"/>
        <v>156740</v>
      </c>
      <c r="Q10" s="340"/>
      <c r="S10" s="353"/>
    </row>
    <row r="11" spans="1:25" ht="26.1" customHeight="1">
      <c r="A11" s="336" t="str">
        <f>입력!B11</f>
        <v>행정실8</v>
      </c>
      <c r="B11" s="337" t="str">
        <f t="shared" ca="1" si="2"/>
        <v>유치원방과후과정전담사</v>
      </c>
      <c r="C11" s="111" t="str">
        <f t="shared" ca="1" si="2"/>
        <v>방학중 비근무자</v>
      </c>
      <c r="D11" s="74">
        <f t="shared" ca="1" si="3"/>
        <v>42795</v>
      </c>
      <c r="E11" s="74">
        <f t="shared" ca="1" si="4"/>
        <v>43891</v>
      </c>
      <c r="F11" s="90">
        <f t="shared" ca="1" si="4"/>
        <v>920000</v>
      </c>
      <c r="G11" s="90">
        <f t="shared" ca="1" si="4"/>
        <v>17500</v>
      </c>
      <c r="H11" s="90">
        <f t="shared" ca="1" si="4"/>
        <v>0</v>
      </c>
      <c r="I11" s="90">
        <f t="shared" ca="1" si="4"/>
        <v>140000</v>
      </c>
      <c r="J11" s="90">
        <f t="shared" ca="1" si="4"/>
        <v>0</v>
      </c>
      <c r="K11" s="90">
        <f t="shared" ca="1" si="5"/>
        <v>1077500</v>
      </c>
      <c r="L11" s="547">
        <f>209/2</f>
        <v>104.5</v>
      </c>
      <c r="M11" s="90">
        <f t="shared" ca="1" si="6"/>
        <v>10311.004784688996</v>
      </c>
      <c r="N11" s="338">
        <f t="shared" ca="1" si="7"/>
        <v>20</v>
      </c>
      <c r="O11" s="339">
        <f t="shared" ca="1" si="1"/>
        <v>41244</v>
      </c>
      <c r="P11" s="90">
        <f t="shared" ca="1" si="8"/>
        <v>61860</v>
      </c>
      <c r="Q11" s="340"/>
    </row>
    <row r="12" spans="1:25" ht="26.1" customHeight="1">
      <c r="A12" s="336" t="str">
        <f>입력!B12</f>
        <v>행정실9</v>
      </c>
      <c r="B12" s="337" t="str">
        <f t="shared" ca="1" si="2"/>
        <v>유치원방과후과정전담사</v>
      </c>
      <c r="C12" s="111" t="str">
        <f t="shared" ca="1" si="2"/>
        <v>방학중 비근무자</v>
      </c>
      <c r="D12" s="74">
        <f t="shared" ca="1" si="3"/>
        <v>42795</v>
      </c>
      <c r="E12" s="74">
        <f t="shared" ca="1" si="4"/>
        <v>43891</v>
      </c>
      <c r="F12" s="90">
        <f t="shared" ca="1" si="4"/>
        <v>920000</v>
      </c>
      <c r="G12" s="90">
        <f t="shared" ca="1" si="4"/>
        <v>17500</v>
      </c>
      <c r="H12" s="90">
        <f t="shared" ca="1" si="4"/>
        <v>0</v>
      </c>
      <c r="I12" s="90">
        <f t="shared" ca="1" si="4"/>
        <v>140000</v>
      </c>
      <c r="J12" s="90">
        <f t="shared" ca="1" si="4"/>
        <v>0</v>
      </c>
      <c r="K12" s="90">
        <f t="shared" ca="1" si="5"/>
        <v>1077500</v>
      </c>
      <c r="L12" s="547">
        <f>209/2</f>
        <v>104.5</v>
      </c>
      <c r="M12" s="90">
        <f t="shared" ca="1" si="6"/>
        <v>10311.004784688996</v>
      </c>
      <c r="N12" s="338">
        <v>20</v>
      </c>
      <c r="O12" s="339">
        <f t="shared" ca="1" si="1"/>
        <v>41244</v>
      </c>
      <c r="P12" s="90">
        <f t="shared" ca="1" si="8"/>
        <v>61860</v>
      </c>
      <c r="Q12" s="340"/>
    </row>
    <row r="13" spans="1:25" ht="26.1" customHeight="1">
      <c r="A13" s="336" t="str">
        <f>입력!B13</f>
        <v>행정실10</v>
      </c>
      <c r="B13" s="337" t="str">
        <f t="shared" ca="1" si="2"/>
        <v>유치원시간제기간제교사</v>
      </c>
      <c r="C13" s="111" t="str">
        <f t="shared" ca="1" si="2"/>
        <v>상시근무자</v>
      </c>
      <c r="D13" s="74">
        <f t="shared" ca="1" si="3"/>
        <v>43891</v>
      </c>
      <c r="E13" s="74">
        <f t="shared" ca="1" si="4"/>
        <v>0</v>
      </c>
      <c r="F13" s="90">
        <f t="shared" ca="1" si="4"/>
        <v>1069500</v>
      </c>
      <c r="G13" s="90">
        <f t="shared" ca="1" si="4"/>
        <v>0</v>
      </c>
      <c r="H13" s="90">
        <f t="shared" ca="1" si="4"/>
        <v>0</v>
      </c>
      <c r="I13" s="90">
        <f t="shared" ca="1" si="4"/>
        <v>70000</v>
      </c>
      <c r="J13" s="90">
        <f t="shared" ca="1" si="4"/>
        <v>0</v>
      </c>
      <c r="K13" s="90">
        <f t="shared" ca="1" si="5"/>
        <v>1139500</v>
      </c>
      <c r="L13" s="547">
        <f>209/2</f>
        <v>104.5</v>
      </c>
      <c r="M13" s="90">
        <f t="shared" ca="1" si="6"/>
        <v>10904.306220095694</v>
      </c>
      <c r="N13" s="338">
        <f t="shared" ca="1" si="7"/>
        <v>20</v>
      </c>
      <c r="O13" s="339">
        <f t="shared" ca="1" si="1"/>
        <v>43617</v>
      </c>
      <c r="P13" s="90">
        <f t="shared" ca="1" si="8"/>
        <v>65420</v>
      </c>
      <c r="Q13" s="340"/>
    </row>
    <row r="14" spans="1:25" ht="26.1" customHeight="1">
      <c r="A14" s="336" t="str">
        <f>입력!B14</f>
        <v>행정실11</v>
      </c>
      <c r="B14" s="337" t="str">
        <f t="shared" ca="1" si="2"/>
        <v>원어민영어보조교사</v>
      </c>
      <c r="C14" s="111" t="str">
        <f t="shared" ca="1" si="2"/>
        <v>방학중 근무자</v>
      </c>
      <c r="D14" s="74"/>
      <c r="E14" s="74"/>
      <c r="F14" s="90"/>
      <c r="G14" s="90"/>
      <c r="H14" s="90"/>
      <c r="I14" s="90"/>
      <c r="J14" s="90"/>
      <c r="K14" s="90"/>
      <c r="L14" s="90"/>
      <c r="M14" s="90"/>
      <c r="N14" s="338">
        <f t="shared" ca="1" si="7"/>
        <v>40</v>
      </c>
      <c r="O14" s="339">
        <f ca="1">M13*4</f>
        <v>43617.224880382775</v>
      </c>
      <c r="P14" s="90">
        <f t="shared" ca="1" si="8"/>
        <v>65420</v>
      </c>
      <c r="Q14" s="340"/>
    </row>
    <row r="15" spans="1:25" ht="26.1" customHeight="1">
      <c r="A15" s="336" t="str">
        <f>입력!B15</f>
        <v>행정실12</v>
      </c>
      <c r="B15" s="337" t="str">
        <f t="shared" ca="1" si="2"/>
        <v>문단속요원</v>
      </c>
      <c r="C15" s="111" t="str">
        <f t="shared" ca="1" si="2"/>
        <v>상시근무자</v>
      </c>
      <c r="D15" s="74"/>
      <c r="E15" s="74"/>
      <c r="F15" s="90"/>
      <c r="G15" s="90"/>
      <c r="H15" s="90"/>
      <c r="I15" s="90"/>
      <c r="J15" s="90"/>
      <c r="K15" s="90"/>
      <c r="L15" s="90"/>
      <c r="M15" s="90"/>
      <c r="N15" s="338">
        <f ca="1">IF($A15="",0,INDEX(INDIRECT(N$3),MATCH($A15,명부,0)))</f>
        <v>14</v>
      </c>
      <c r="O15" s="339">
        <v>80103</v>
      </c>
      <c r="P15" s="90">
        <f>80103*1.5</f>
        <v>120154.5</v>
      </c>
      <c r="Q15" s="340"/>
    </row>
    <row r="16" spans="1:25" ht="30" customHeight="1">
      <c r="A16" s="705" t="s">
        <v>244</v>
      </c>
      <c r="B16" s="706"/>
      <c r="C16" s="354"/>
      <c r="D16" s="355"/>
      <c r="E16" s="355"/>
      <c r="F16" s="356"/>
      <c r="G16" s="356"/>
      <c r="H16" s="356"/>
      <c r="I16" s="356"/>
      <c r="J16" s="356"/>
      <c r="K16" s="356"/>
      <c r="L16" s="356"/>
      <c r="M16" s="356"/>
      <c r="N16" s="356"/>
      <c r="O16" s="356"/>
      <c r="P16" s="356">
        <f ca="1">SUM(P4:P15)</f>
        <v>1231314.5</v>
      </c>
      <c r="Q16" s="357"/>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spans="1:15" ht="14.1" customHeight="1">
      <c r="A33" s="358"/>
      <c r="B33" s="4"/>
      <c r="C33" s="4"/>
      <c r="D33" s="4"/>
      <c r="E33" s="4"/>
      <c r="F33" s="4"/>
      <c r="G33" s="4"/>
      <c r="H33" s="4"/>
      <c r="I33" s="4"/>
      <c r="J33" s="4"/>
      <c r="K33" s="4"/>
      <c r="L33" s="4"/>
      <c r="M33" s="4"/>
      <c r="N33" s="4"/>
    </row>
    <row r="34" spans="1:15" ht="14.1" customHeight="1">
      <c r="A34" s="359"/>
      <c r="B34" s="4"/>
      <c r="C34" s="4"/>
      <c r="D34" s="4"/>
      <c r="E34" s="4"/>
      <c r="F34" s="4"/>
      <c r="G34" s="4"/>
      <c r="H34" s="4"/>
      <c r="I34" s="4"/>
      <c r="J34" s="4"/>
      <c r="K34" s="4"/>
      <c r="L34" s="4"/>
      <c r="M34" s="4"/>
      <c r="N34" s="4"/>
    </row>
    <row r="35" spans="1:15" ht="14.1" customHeight="1">
      <c r="A35" s="360"/>
      <c r="B35" s="4"/>
      <c r="C35" s="4"/>
      <c r="D35" s="4"/>
      <c r="E35" s="4"/>
      <c r="F35" s="4"/>
      <c r="G35" s="4"/>
      <c r="H35" s="4"/>
      <c r="I35" s="4"/>
      <c r="J35" s="4"/>
      <c r="K35" s="4"/>
      <c r="L35" s="4"/>
      <c r="M35" s="4"/>
      <c r="N35" s="4"/>
    </row>
    <row r="36" spans="1:15" ht="14.1" customHeight="1">
      <c r="A36" s="360"/>
      <c r="B36" s="4"/>
      <c r="C36" s="4"/>
      <c r="D36" s="4"/>
      <c r="E36" s="4"/>
      <c r="F36" s="4"/>
      <c r="G36" s="4"/>
      <c r="H36" s="4"/>
      <c r="I36" s="4"/>
      <c r="J36" s="4"/>
      <c r="K36" s="4"/>
      <c r="L36" s="4"/>
      <c r="M36" s="4"/>
      <c r="N36" s="4"/>
    </row>
    <row r="37" spans="1:15" ht="14.1" customHeight="1">
      <c r="A37" s="360"/>
      <c r="B37" s="4"/>
      <c r="C37" s="4"/>
      <c r="D37" s="4"/>
      <c r="E37" s="4"/>
      <c r="F37" s="4"/>
      <c r="G37" s="4"/>
      <c r="H37" s="4"/>
      <c r="I37" s="4"/>
      <c r="J37" s="4"/>
      <c r="K37" s="4"/>
      <c r="L37" s="4"/>
      <c r="M37" s="4"/>
      <c r="N37" s="4"/>
    </row>
    <row r="38" spans="1:15" ht="14.1" customHeight="1">
      <c r="A38" s="360"/>
      <c r="B38" s="4"/>
      <c r="C38" s="4"/>
      <c r="D38" s="4"/>
      <c r="E38" s="4"/>
      <c r="F38" s="4"/>
      <c r="G38" s="4"/>
      <c r="H38" s="4"/>
      <c r="I38" s="4"/>
      <c r="J38" s="4"/>
      <c r="K38" s="4"/>
      <c r="L38" s="4"/>
      <c r="M38" s="4"/>
      <c r="N38" s="4"/>
    </row>
    <row r="39" spans="1:15" ht="14.1" customHeight="1">
      <c r="A39" s="359"/>
      <c r="B39" s="4"/>
      <c r="C39" s="4"/>
      <c r="D39" s="4"/>
      <c r="E39" s="4"/>
      <c r="F39" s="4"/>
      <c r="G39" s="4"/>
      <c r="H39" s="4"/>
      <c r="I39" s="4"/>
      <c r="J39" s="4"/>
      <c r="K39" s="4"/>
      <c r="L39" s="4"/>
      <c r="M39" s="4"/>
      <c r="N39" s="4"/>
    </row>
    <row r="40" spans="1:15" ht="14.1" customHeight="1">
      <c r="A40" s="360"/>
      <c r="B40" s="4"/>
      <c r="C40" s="4"/>
      <c r="D40" s="4"/>
      <c r="E40" s="4"/>
      <c r="F40" s="4"/>
      <c r="G40" s="4"/>
      <c r="H40" s="4"/>
      <c r="I40" s="4"/>
      <c r="J40" s="4"/>
      <c r="K40" s="4"/>
      <c r="L40" s="4"/>
      <c r="M40" s="4"/>
      <c r="N40" s="4"/>
      <c r="O40" s="4"/>
    </row>
    <row r="41" spans="1:15" ht="14.1" customHeight="1">
      <c r="A41" s="360"/>
      <c r="B41" s="4"/>
      <c r="C41" s="4"/>
      <c r="D41" s="4"/>
      <c r="E41" s="4"/>
      <c r="F41" s="4"/>
      <c r="G41" s="4"/>
      <c r="H41" s="4"/>
      <c r="I41" s="4"/>
      <c r="J41" s="4"/>
      <c r="K41" s="4"/>
      <c r="L41" s="4"/>
      <c r="M41" s="4"/>
      <c r="N41" s="4"/>
      <c r="O41" s="4"/>
    </row>
    <row r="42" spans="1:15" ht="14.1" customHeight="1">
      <c r="A42" s="360"/>
      <c r="B42" s="4"/>
      <c r="C42" s="4"/>
      <c r="D42" s="4"/>
      <c r="E42" s="4"/>
      <c r="F42" s="4"/>
      <c r="G42" s="4"/>
      <c r="H42" s="4"/>
      <c r="I42" s="4"/>
      <c r="J42" s="4"/>
      <c r="K42" s="4"/>
      <c r="L42" s="4"/>
      <c r="M42" s="4"/>
      <c r="N42" s="4"/>
      <c r="O42" s="4"/>
    </row>
    <row r="43" spans="1:15" ht="14.1" customHeight="1">
      <c r="A43" s="360"/>
      <c r="B43" s="4"/>
      <c r="C43" s="4"/>
      <c r="D43" s="4"/>
      <c r="E43" s="4"/>
      <c r="F43" s="4"/>
      <c r="G43" s="4"/>
      <c r="H43" s="4"/>
      <c r="I43" s="4"/>
      <c r="J43" s="4"/>
      <c r="K43" s="4"/>
      <c r="L43" s="4"/>
      <c r="M43" s="4"/>
      <c r="N43" s="4"/>
      <c r="O43" s="4"/>
    </row>
    <row r="44" spans="1:15" ht="14.1" customHeight="1">
      <c r="A44" s="360"/>
      <c r="B44" s="4"/>
      <c r="C44" s="4"/>
      <c r="D44" s="4"/>
      <c r="E44" s="4"/>
      <c r="F44" s="4"/>
      <c r="G44" s="4"/>
      <c r="H44" s="4"/>
      <c r="I44" s="4"/>
      <c r="J44" s="4"/>
      <c r="K44" s="4"/>
      <c r="L44" s="4"/>
      <c r="M44" s="4"/>
      <c r="N44" s="4"/>
      <c r="O44" s="4"/>
    </row>
    <row r="45" spans="1:15" ht="14.1" customHeight="1">
      <c r="A45" s="360"/>
      <c r="B45" s="4"/>
      <c r="C45" s="4"/>
      <c r="D45" s="4"/>
      <c r="E45" s="4"/>
      <c r="F45" s="4"/>
      <c r="G45" s="4"/>
      <c r="H45" s="4"/>
      <c r="I45" s="4"/>
      <c r="J45" s="4"/>
      <c r="K45" s="4"/>
      <c r="L45" s="4"/>
      <c r="M45" s="4"/>
      <c r="N45" s="4"/>
      <c r="O45" s="4"/>
    </row>
    <row r="46" spans="1:15" ht="14.1" customHeight="1">
      <c r="A46" s="360"/>
      <c r="B46" s="4"/>
      <c r="C46" s="4"/>
      <c r="D46" s="4"/>
      <c r="E46" s="4"/>
      <c r="F46" s="4"/>
      <c r="G46" s="4"/>
      <c r="H46" s="4"/>
      <c r="I46" s="4"/>
      <c r="J46" s="4"/>
      <c r="K46" s="4"/>
      <c r="L46" s="4"/>
      <c r="M46" s="4"/>
      <c r="N46" s="4"/>
      <c r="O46" s="4"/>
    </row>
    <row r="47" spans="1:15" ht="14.1" customHeight="1">
      <c r="A47" s="360"/>
      <c r="B47" s="4"/>
      <c r="C47" s="4"/>
      <c r="D47" s="4"/>
      <c r="E47" s="4"/>
      <c r="F47" s="4"/>
      <c r="G47" s="4"/>
      <c r="H47" s="4"/>
      <c r="I47" s="4"/>
      <c r="J47" s="4"/>
      <c r="K47" s="4"/>
      <c r="L47" s="4"/>
      <c r="M47" s="4"/>
      <c r="N47" s="4"/>
      <c r="O47" s="4"/>
    </row>
    <row r="48" spans="1:15" ht="14.1" customHeight="1">
      <c r="A48" s="360"/>
      <c r="B48" s="4"/>
      <c r="C48" s="4"/>
      <c r="D48" s="4"/>
      <c r="E48" s="4"/>
      <c r="F48" s="4"/>
      <c r="G48" s="4"/>
      <c r="H48" s="4"/>
      <c r="I48" s="4"/>
      <c r="J48" s="4"/>
      <c r="K48" s="4"/>
      <c r="L48" s="4"/>
      <c r="M48" s="4"/>
      <c r="N48" s="4"/>
      <c r="O48" s="4"/>
    </row>
    <row r="49" spans="1:16" ht="14.1" customHeight="1">
      <c r="A49" s="3"/>
      <c r="B49" s="3"/>
      <c r="C49" s="3"/>
      <c r="D49" s="3"/>
      <c r="E49" s="3"/>
      <c r="F49" s="3"/>
      <c r="G49" s="3"/>
      <c r="H49" s="3"/>
      <c r="I49" s="3"/>
      <c r="J49" s="3"/>
      <c r="K49" s="3"/>
      <c r="L49" s="3"/>
      <c r="M49" s="3"/>
      <c r="N49" s="3"/>
      <c r="O49" s="3"/>
      <c r="P49" s="361"/>
    </row>
    <row r="50" spans="1:16" ht="14.1" customHeight="1">
      <c r="A50" s="3" t="s">
        <v>245</v>
      </c>
      <c r="B50" s="3"/>
      <c r="C50" s="3"/>
      <c r="D50" s="3"/>
      <c r="E50" s="3"/>
      <c r="F50" s="3"/>
      <c r="G50" s="3"/>
      <c r="H50" s="3"/>
      <c r="I50" s="3"/>
      <c r="J50" s="3"/>
      <c r="K50" s="3"/>
      <c r="L50" s="3"/>
      <c r="M50" s="3"/>
      <c r="N50" s="3"/>
      <c r="O50" s="3"/>
      <c r="P50" s="361"/>
    </row>
    <row r="51" spans="1:16" ht="14.1" customHeight="1">
      <c r="A51" s="3" t="s">
        <v>246</v>
      </c>
      <c r="B51" s="3"/>
      <c r="C51" s="3"/>
      <c r="D51" s="3"/>
      <c r="E51" s="3"/>
      <c r="F51" s="3"/>
      <c r="G51" s="3"/>
      <c r="H51" s="3"/>
      <c r="I51" s="3"/>
      <c r="J51" s="3"/>
      <c r="K51" s="3"/>
      <c r="L51" s="3"/>
      <c r="M51" s="3"/>
      <c r="N51" s="3"/>
      <c r="O51" s="3"/>
      <c r="P51" s="361"/>
    </row>
    <row r="52" spans="1:16" ht="14.1" customHeight="1">
      <c r="A52" s="3" t="s">
        <v>247</v>
      </c>
      <c r="B52" s="3"/>
      <c r="C52" s="3"/>
      <c r="D52" s="3"/>
      <c r="E52" s="3"/>
      <c r="F52" s="3"/>
      <c r="G52" s="3"/>
      <c r="H52" s="3"/>
      <c r="I52" s="3"/>
      <c r="J52" s="3"/>
      <c r="K52" s="3"/>
      <c r="L52" s="3"/>
      <c r="M52" s="3"/>
      <c r="N52" s="3"/>
      <c r="O52" s="3"/>
      <c r="P52" s="361"/>
    </row>
    <row r="53" spans="1:16" ht="14.1" customHeight="1">
      <c r="A53" s="3" t="s">
        <v>248</v>
      </c>
      <c r="B53" s="3"/>
      <c r="C53" s="3"/>
      <c r="D53" s="3"/>
      <c r="E53" s="3"/>
      <c r="F53" s="3"/>
      <c r="G53" s="3"/>
      <c r="H53" s="3"/>
      <c r="I53" s="3"/>
      <c r="J53" s="3"/>
      <c r="K53" s="3"/>
      <c r="L53" s="3"/>
      <c r="M53" s="3"/>
      <c r="N53" s="3"/>
      <c r="O53" s="3"/>
      <c r="P53" s="361"/>
    </row>
    <row r="54" spans="1:16" ht="14.1" customHeight="1">
      <c r="A54" s="3" t="s">
        <v>249</v>
      </c>
      <c r="B54" s="3"/>
      <c r="C54" s="3"/>
      <c r="D54" s="3"/>
      <c r="E54" s="3"/>
      <c r="F54" s="3"/>
      <c r="G54" s="3"/>
      <c r="H54" s="3"/>
      <c r="I54" s="3"/>
      <c r="J54" s="3"/>
      <c r="K54" s="3"/>
      <c r="L54" s="3"/>
      <c r="M54" s="3"/>
      <c r="N54" s="3"/>
      <c r="O54" s="3"/>
      <c r="P54" s="361"/>
    </row>
    <row r="55" spans="1:16" ht="14.1" customHeight="1">
      <c r="A55" s="3" t="s">
        <v>250</v>
      </c>
      <c r="B55" s="3"/>
      <c r="C55" s="3"/>
      <c r="D55" s="3"/>
      <c r="E55" s="3"/>
      <c r="F55" s="3"/>
      <c r="G55" s="3"/>
      <c r="H55" s="3"/>
      <c r="I55" s="3"/>
      <c r="J55" s="3"/>
      <c r="K55" s="3"/>
      <c r="L55" s="3"/>
      <c r="M55" s="3"/>
      <c r="N55" s="3"/>
      <c r="O55" s="3"/>
      <c r="P55" s="361"/>
    </row>
    <row r="56" spans="1:16" ht="14.1" customHeight="1">
      <c r="A56" s="3" t="s">
        <v>251</v>
      </c>
      <c r="B56" s="3"/>
      <c r="C56" s="3"/>
      <c r="D56" s="3"/>
      <c r="E56" s="3"/>
      <c r="F56" s="3"/>
      <c r="G56" s="3"/>
      <c r="H56" s="3"/>
      <c r="I56" s="3"/>
      <c r="J56" s="3"/>
      <c r="K56" s="3"/>
      <c r="L56" s="3"/>
      <c r="M56" s="3"/>
      <c r="N56" s="3"/>
      <c r="O56" s="3"/>
      <c r="P56" s="361"/>
    </row>
    <row r="57" spans="1:16" ht="14.1" customHeight="1">
      <c r="A57" s="3"/>
      <c r="B57" s="3"/>
      <c r="C57" s="3"/>
      <c r="D57" s="3"/>
      <c r="E57" s="3"/>
      <c r="F57" s="3"/>
      <c r="G57" s="3"/>
      <c r="H57" s="3"/>
      <c r="I57" s="3"/>
      <c r="J57" s="3"/>
      <c r="K57" s="3"/>
      <c r="L57" s="3"/>
      <c r="M57" s="3"/>
      <c r="N57" s="3"/>
      <c r="O57" s="3"/>
      <c r="P57" s="361"/>
    </row>
    <row r="58" spans="1:16" ht="14.1" customHeight="1">
      <c r="A58" s="3"/>
      <c r="B58" s="3"/>
      <c r="C58" s="3"/>
      <c r="D58" s="3"/>
      <c r="E58" s="3"/>
      <c r="F58" s="3"/>
      <c r="G58" s="3"/>
      <c r="H58" s="3"/>
      <c r="I58" s="3"/>
      <c r="J58" s="3"/>
      <c r="K58" s="3"/>
      <c r="L58" s="3"/>
      <c r="M58" s="3"/>
      <c r="N58" s="3"/>
      <c r="O58" s="3"/>
      <c r="P58" s="361"/>
    </row>
    <row r="59" spans="1:16">
      <c r="B59" s="361"/>
      <c r="C59" s="361"/>
      <c r="D59" s="361"/>
      <c r="E59" s="361"/>
      <c r="F59" s="361"/>
      <c r="G59" s="361"/>
      <c r="H59" s="361"/>
      <c r="I59" s="361"/>
      <c r="J59" s="361"/>
      <c r="K59" s="361"/>
      <c r="L59" s="361"/>
      <c r="M59" s="361"/>
      <c r="N59" s="361"/>
      <c r="O59" s="361"/>
      <c r="P59" s="361"/>
    </row>
    <row r="60" spans="1:16">
      <c r="A60" s="361"/>
      <c r="B60" s="361"/>
      <c r="C60" s="361"/>
      <c r="D60" s="361"/>
      <c r="E60" s="361"/>
      <c r="F60" s="361"/>
      <c r="G60" s="361"/>
      <c r="H60" s="361"/>
      <c r="I60" s="361"/>
      <c r="J60" s="361"/>
      <c r="K60" s="361"/>
      <c r="L60" s="361"/>
      <c r="M60" s="361"/>
      <c r="N60" s="361"/>
      <c r="O60" s="361"/>
      <c r="P60" s="361"/>
    </row>
    <row r="61" spans="1:16">
      <c r="A61" s="361"/>
      <c r="B61" s="361"/>
      <c r="C61" s="361"/>
      <c r="D61" s="361"/>
      <c r="E61" s="361"/>
      <c r="F61" s="361"/>
      <c r="G61" s="361"/>
      <c r="H61" s="361"/>
      <c r="I61" s="361"/>
      <c r="J61" s="361"/>
      <c r="K61" s="361"/>
      <c r="L61" s="361"/>
      <c r="M61" s="361"/>
      <c r="N61" s="361"/>
      <c r="O61" s="361"/>
      <c r="P61" s="361"/>
    </row>
    <row r="62" spans="1:16" s="363" customFormat="1" ht="12">
      <c r="A62" s="362"/>
      <c r="B62" s="362"/>
      <c r="C62" s="362"/>
      <c r="D62" s="362"/>
      <c r="E62" s="362"/>
      <c r="F62" s="362"/>
      <c r="G62" s="362"/>
      <c r="H62" s="362"/>
      <c r="I62" s="362"/>
      <c r="J62" s="362"/>
      <c r="K62" s="362"/>
      <c r="L62" s="362"/>
      <c r="M62" s="362"/>
      <c r="N62" s="362"/>
      <c r="O62" s="362"/>
      <c r="P62" s="362"/>
    </row>
    <row r="63" spans="1:16" s="363" customFormat="1" ht="18.75">
      <c r="A63" s="364" t="s">
        <v>252</v>
      </c>
      <c r="B63" s="362"/>
      <c r="C63" s="362"/>
      <c r="D63" s="362"/>
      <c r="E63" s="362"/>
      <c r="F63" s="362"/>
      <c r="G63" s="362"/>
      <c r="H63" s="362"/>
      <c r="I63" s="362"/>
      <c r="J63" s="362"/>
      <c r="K63" s="362"/>
      <c r="L63" s="362"/>
      <c r="M63" s="362"/>
      <c r="N63" s="362"/>
      <c r="O63" s="362"/>
      <c r="P63" s="362"/>
    </row>
    <row r="64" spans="1:16" s="363" customFormat="1" ht="14.1" customHeight="1">
      <c r="A64" s="362" t="s">
        <v>253</v>
      </c>
      <c r="B64" s="362"/>
      <c r="C64" s="362"/>
      <c r="D64" s="362"/>
      <c r="E64" s="362"/>
      <c r="F64" s="362"/>
      <c r="G64" s="362"/>
      <c r="H64" s="362"/>
      <c r="I64" s="362"/>
      <c r="J64" s="362"/>
      <c r="K64" s="362"/>
      <c r="L64" s="362"/>
      <c r="M64" s="362"/>
      <c r="N64" s="362"/>
      <c r="O64" s="362"/>
      <c r="P64" s="362"/>
    </row>
    <row r="65" spans="1:16" s="363" customFormat="1" ht="14.1" customHeight="1">
      <c r="A65" s="362" t="s">
        <v>254</v>
      </c>
      <c r="B65" s="362"/>
      <c r="C65" s="362"/>
      <c r="D65" s="362"/>
      <c r="E65" s="362"/>
      <c r="F65" s="362"/>
      <c r="G65" s="362"/>
      <c r="H65" s="362"/>
      <c r="I65" s="362"/>
      <c r="J65" s="362"/>
      <c r="K65" s="362"/>
      <c r="L65" s="362"/>
      <c r="M65" s="362"/>
      <c r="N65" s="362"/>
      <c r="O65" s="362"/>
      <c r="P65" s="362"/>
    </row>
    <row r="66" spans="1:16" s="363" customFormat="1" ht="14.1" customHeight="1">
      <c r="A66" s="362" t="s">
        <v>255</v>
      </c>
      <c r="B66" s="362"/>
      <c r="C66" s="362"/>
      <c r="D66" s="362"/>
      <c r="E66" s="362"/>
      <c r="F66" s="362"/>
      <c r="G66" s="362"/>
      <c r="H66" s="362"/>
      <c r="I66" s="362"/>
      <c r="J66" s="362"/>
      <c r="K66" s="362"/>
      <c r="L66" s="362"/>
      <c r="M66" s="362"/>
      <c r="N66" s="362"/>
      <c r="O66" s="362"/>
      <c r="P66" s="362"/>
    </row>
    <row r="67" spans="1:16" s="363" customFormat="1" ht="14.1" customHeight="1">
      <c r="A67" s="362"/>
      <c r="B67" s="362"/>
      <c r="C67" s="362"/>
      <c r="D67" s="362"/>
      <c r="E67" s="362"/>
      <c r="F67" s="362"/>
      <c r="G67" s="362"/>
      <c r="H67" s="362"/>
      <c r="I67" s="362"/>
      <c r="J67" s="362"/>
      <c r="K67" s="362"/>
      <c r="L67" s="362"/>
      <c r="M67" s="362"/>
      <c r="N67" s="362"/>
      <c r="O67" s="362"/>
      <c r="P67" s="362"/>
    </row>
    <row r="68" spans="1:16" s="363" customFormat="1" ht="14.1" customHeight="1">
      <c r="A68" s="362" t="s">
        <v>248</v>
      </c>
      <c r="B68" s="362"/>
      <c r="C68" s="362"/>
      <c r="D68" s="362"/>
      <c r="E68" s="362"/>
      <c r="F68" s="362"/>
      <c r="G68" s="362"/>
      <c r="H68" s="362"/>
      <c r="I68" s="362"/>
      <c r="J68" s="362"/>
      <c r="K68" s="362"/>
      <c r="L68" s="362"/>
      <c r="M68" s="362"/>
      <c r="N68" s="362"/>
      <c r="O68" s="362"/>
      <c r="P68" s="362"/>
    </row>
    <row r="69" spans="1:16" s="363" customFormat="1" ht="14.1" customHeight="1">
      <c r="A69" s="362" t="s">
        <v>249</v>
      </c>
      <c r="B69" s="362"/>
      <c r="C69" s="362"/>
      <c r="D69" s="362"/>
      <c r="E69" s="362"/>
      <c r="F69" s="362"/>
      <c r="G69" s="362"/>
      <c r="H69" s="362"/>
      <c r="I69" s="362"/>
      <c r="J69" s="362"/>
      <c r="K69" s="362"/>
      <c r="L69" s="362"/>
      <c r="M69" s="362"/>
      <c r="N69" s="362"/>
      <c r="O69" s="362"/>
      <c r="P69" s="362"/>
    </row>
    <row r="70" spans="1:16" s="363" customFormat="1" ht="14.1" customHeight="1">
      <c r="A70" s="362" t="s">
        <v>250</v>
      </c>
      <c r="B70" s="362"/>
      <c r="C70" s="362"/>
      <c r="D70" s="362"/>
      <c r="E70" s="362"/>
      <c r="F70" s="362"/>
      <c r="G70" s="362"/>
      <c r="H70" s="362"/>
      <c r="I70" s="362"/>
      <c r="J70" s="362"/>
      <c r="K70" s="362"/>
      <c r="L70" s="362"/>
      <c r="M70" s="362"/>
      <c r="N70" s="362"/>
      <c r="O70" s="362"/>
      <c r="P70" s="362"/>
    </row>
    <row r="71" spans="1:16" s="363" customFormat="1" ht="14.1" customHeight="1">
      <c r="A71" s="362" t="s">
        <v>251</v>
      </c>
      <c r="B71" s="362"/>
      <c r="C71" s="362"/>
      <c r="D71" s="362"/>
      <c r="E71" s="362"/>
      <c r="F71" s="362"/>
      <c r="G71" s="362"/>
      <c r="H71" s="362"/>
      <c r="I71" s="362"/>
      <c r="J71" s="362"/>
      <c r="K71" s="362"/>
      <c r="L71" s="362"/>
      <c r="M71" s="362"/>
      <c r="N71" s="362"/>
      <c r="O71" s="362"/>
      <c r="P71" s="362"/>
    </row>
    <row r="72" spans="1:16" s="363" customFormat="1" ht="14.1" customHeight="1">
      <c r="A72" s="362" t="s">
        <v>256</v>
      </c>
      <c r="B72" s="362"/>
      <c r="C72" s="362"/>
      <c r="D72" s="362"/>
      <c r="E72" s="362"/>
      <c r="F72" s="362"/>
      <c r="G72" s="362"/>
      <c r="H72" s="362"/>
      <c r="I72" s="362"/>
      <c r="J72" s="362"/>
      <c r="K72" s="362"/>
      <c r="L72" s="362"/>
      <c r="M72" s="362"/>
      <c r="N72" s="362"/>
      <c r="O72" s="362"/>
      <c r="P72" s="362"/>
    </row>
    <row r="73" spans="1:16" s="363" customFormat="1" ht="14.1" customHeight="1">
      <c r="A73" s="362" t="s">
        <v>257</v>
      </c>
      <c r="B73" s="362"/>
      <c r="C73" s="362"/>
      <c r="D73" s="362"/>
      <c r="E73" s="362"/>
      <c r="F73" s="362"/>
      <c r="G73" s="362"/>
      <c r="H73" s="362"/>
      <c r="I73" s="362"/>
      <c r="J73" s="362"/>
      <c r="K73" s="362"/>
      <c r="L73" s="362"/>
      <c r="M73" s="362"/>
      <c r="N73" s="362"/>
      <c r="O73" s="362"/>
      <c r="P73" s="362"/>
    </row>
    <row r="74" spans="1:16" s="363" customFormat="1" ht="14.1" customHeight="1">
      <c r="A74" s="362" t="s">
        <v>258</v>
      </c>
      <c r="B74" s="362"/>
      <c r="C74" s="362"/>
      <c r="D74" s="362"/>
      <c r="E74" s="362"/>
      <c r="F74" s="362"/>
      <c r="G74" s="362"/>
      <c r="H74" s="362"/>
      <c r="I74" s="362"/>
      <c r="J74" s="362"/>
      <c r="K74" s="362"/>
      <c r="L74" s="362"/>
      <c r="M74" s="362"/>
      <c r="N74" s="362"/>
      <c r="O74" s="362"/>
      <c r="P74" s="362"/>
    </row>
    <row r="75" spans="1:16" s="363" customFormat="1" ht="14.1" customHeight="1">
      <c r="A75" s="362" t="s">
        <v>259</v>
      </c>
      <c r="B75" s="362"/>
      <c r="C75" s="362"/>
      <c r="D75" s="362"/>
      <c r="E75" s="362"/>
      <c r="F75" s="362"/>
      <c r="G75" s="362"/>
      <c r="H75" s="362"/>
      <c r="I75" s="362"/>
      <c r="J75" s="362"/>
      <c r="K75" s="362"/>
      <c r="L75" s="362"/>
      <c r="M75" s="362"/>
      <c r="N75" s="362"/>
      <c r="O75" s="362"/>
      <c r="P75" s="362"/>
    </row>
    <row r="76" spans="1:16" s="363" customFormat="1" ht="14.1" customHeight="1">
      <c r="A76" s="362" t="s">
        <v>260</v>
      </c>
      <c r="B76" s="362"/>
      <c r="C76" s="362"/>
      <c r="D76" s="362"/>
      <c r="E76" s="362"/>
      <c r="F76" s="362"/>
      <c r="G76" s="362"/>
      <c r="H76" s="362"/>
      <c r="I76" s="362"/>
      <c r="J76" s="362"/>
      <c r="K76" s="362"/>
      <c r="L76" s="362"/>
      <c r="M76" s="362"/>
      <c r="N76" s="362"/>
      <c r="O76" s="362"/>
      <c r="P76" s="362"/>
    </row>
    <row r="77" spans="1:16" s="363" customFormat="1" ht="14.1" customHeight="1">
      <c r="A77" s="362"/>
      <c r="B77" s="362"/>
      <c r="C77" s="362"/>
      <c r="D77" s="362"/>
      <c r="E77" s="362"/>
      <c r="F77" s="362"/>
      <c r="G77" s="362"/>
      <c r="H77" s="362"/>
      <c r="I77" s="362"/>
      <c r="J77" s="362"/>
      <c r="K77" s="362"/>
      <c r="L77" s="362"/>
      <c r="M77" s="362"/>
      <c r="N77" s="362"/>
      <c r="O77" s="362"/>
      <c r="P77" s="362"/>
    </row>
    <row r="78" spans="1:16" ht="14.1" customHeight="1">
      <c r="A78" s="3"/>
      <c r="B78" s="3"/>
      <c r="C78" s="3"/>
      <c r="D78" s="3"/>
      <c r="E78" s="3"/>
      <c r="F78" s="3"/>
      <c r="G78" s="3"/>
      <c r="H78" s="3"/>
      <c r="I78" s="3"/>
      <c r="J78" s="3"/>
      <c r="K78" s="3"/>
      <c r="L78" s="3"/>
      <c r="M78" s="3"/>
      <c r="N78" s="3"/>
      <c r="O78" s="3"/>
      <c r="P78" s="361"/>
    </row>
  </sheetData>
  <mergeCells count="1">
    <mergeCell ref="A16:B16"/>
  </mergeCells>
  <phoneticPr fontId="3" type="noConversion"/>
  <printOptions horizontalCentered="1"/>
  <pageMargins left="0.86614173228346458" right="0.27559055118110237" top="0.74803149606299213" bottom="0.54"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86</vt:i4>
      </vt:variant>
    </vt:vector>
  </HeadingPairs>
  <TitlesOfParts>
    <vt:vector size="94" baseType="lpstr">
      <vt:lpstr>입력</vt:lpstr>
      <vt:lpstr>임금총괄</vt:lpstr>
      <vt:lpstr>4대보험료</vt:lpstr>
      <vt:lpstr>명세서</vt:lpstr>
      <vt:lpstr>임금대장</vt:lpstr>
      <vt:lpstr>2021임금누적</vt:lpstr>
      <vt:lpstr>2021보험료누적</vt:lpstr>
      <vt:lpstr>2021통상임금</vt:lpstr>
      <vt:lpstr>'2021보험료누적'!Print_Area</vt:lpstr>
      <vt:lpstr>'2021임금누적'!Print_Area</vt:lpstr>
      <vt:lpstr>'2021통상임금'!Print_Area</vt:lpstr>
      <vt:lpstr>'4대보험료'!Print_Area</vt:lpstr>
      <vt:lpstr>명세서!Print_Area</vt:lpstr>
      <vt:lpstr>임금대장!Print_Area</vt:lpstr>
      <vt:lpstr>임금총괄!Print_Area</vt:lpstr>
      <vt:lpstr>'2021보험료누적'!Print_Titles</vt:lpstr>
      <vt:lpstr>'2021임금누적'!Print_Titles</vt:lpstr>
      <vt:lpstr>가족수</vt:lpstr>
      <vt:lpstr>가족수당</vt:lpstr>
      <vt:lpstr>건강보험</vt:lpstr>
      <vt:lpstr>건강보험2</vt:lpstr>
      <vt:lpstr>건강보험정산</vt:lpstr>
      <vt:lpstr>건강보험정산분2</vt:lpstr>
      <vt:lpstr>계좌번호</vt:lpstr>
      <vt:lpstr>고용보험실업급여</vt:lpstr>
      <vt:lpstr>고용보험실업급여2</vt:lpstr>
      <vt:lpstr>고용보험정산</vt:lpstr>
      <vt:lpstr>고용보험정산분2</vt:lpstr>
      <vt:lpstr>고용안정사업2</vt:lpstr>
      <vt:lpstr>공제계</vt:lpstr>
      <vt:lpstr>공제목록</vt:lpstr>
      <vt:lpstr>교육연구비</vt:lpstr>
      <vt:lpstr>교직수당</vt:lpstr>
      <vt:lpstr>교직원공제회</vt:lpstr>
      <vt:lpstr>교통보조비</vt:lpstr>
      <vt:lpstr>국민연금</vt:lpstr>
      <vt:lpstr>국민연금2</vt:lpstr>
      <vt:lpstr>군지역근무수당</vt:lpstr>
      <vt:lpstr>근로자의날</vt:lpstr>
      <vt:lpstr>근로형태</vt:lpstr>
      <vt:lpstr>근무일수</vt:lpstr>
      <vt:lpstr>근속년수</vt:lpstr>
      <vt:lpstr>근속수당</vt:lpstr>
      <vt:lpstr>금융기관</vt:lpstr>
      <vt:lpstr>급식비</vt:lpstr>
      <vt:lpstr>급여계</vt:lpstr>
      <vt:lpstr>기본급</vt:lpstr>
      <vt:lpstr>기술정보수당</vt:lpstr>
      <vt:lpstr>기준액</vt:lpstr>
      <vt:lpstr>기타공제</vt:lpstr>
      <vt:lpstr>노인장기요양보험</vt:lpstr>
      <vt:lpstr>노인장기요양보험정산</vt:lpstr>
      <vt:lpstr>당월일수</vt:lpstr>
      <vt:lpstr>맞춤형복지비</vt:lpstr>
      <vt:lpstr>명부</vt:lpstr>
      <vt:lpstr>명절휴가비</vt:lpstr>
      <vt:lpstr>무기계약전환일</vt:lpstr>
      <vt:lpstr>범위</vt:lpstr>
      <vt:lpstr>보수월액1</vt:lpstr>
      <vt:lpstr>보수월액2</vt:lpstr>
      <vt:lpstr>본교_근무년수__연차일수</vt:lpstr>
      <vt:lpstr>산재보험2</vt:lpstr>
      <vt:lpstr>산재보험정산분2</vt:lpstr>
      <vt:lpstr>성명</vt:lpstr>
      <vt:lpstr>소득세</vt:lpstr>
      <vt:lpstr>수당목록</vt:lpstr>
      <vt:lpstr>순회근무수당</vt:lpstr>
      <vt:lpstr>시간외근무수당</vt:lpstr>
      <vt:lpstr>실수령액</vt:lpstr>
      <vt:lpstr>연차수당</vt:lpstr>
      <vt:lpstr>연차일수</vt:lpstr>
      <vt:lpstr>연차일수계산기산일</vt:lpstr>
      <vt:lpstr>우유비</vt:lpstr>
      <vt:lpstr>위험근무수당</vt:lpstr>
      <vt:lpstr>이전_근무년수</vt:lpstr>
      <vt:lpstr>자녀학비보조수당</vt:lpstr>
      <vt:lpstr>장기요양보험2</vt:lpstr>
      <vt:lpstr>장기요양보험정산분2</vt:lpstr>
      <vt:lpstr>정기상여금</vt:lpstr>
      <vt:lpstr>주당근무시간</vt:lpstr>
      <vt:lpstr>주민등록번호</vt:lpstr>
      <vt:lpstr>주소</vt:lpstr>
      <vt:lpstr>주차일수</vt:lpstr>
      <vt:lpstr>지급일수</vt:lpstr>
      <vt:lpstr>지방소득세</vt:lpstr>
      <vt:lpstr>직업능력개발2</vt:lpstr>
      <vt:lpstr>직종</vt:lpstr>
      <vt:lpstr>직종2</vt:lpstr>
      <vt:lpstr>최종근무년수</vt:lpstr>
      <vt:lpstr>최종근무월</vt:lpstr>
      <vt:lpstr>최초임용일</vt:lpstr>
      <vt:lpstr>통상임금</vt:lpstr>
      <vt:lpstr>퇴직금</vt:lpstr>
      <vt:lpstr>학교명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통기타사랑</cp:lastModifiedBy>
  <cp:lastPrinted>2021-11-24T07:42:24Z</cp:lastPrinted>
  <dcterms:created xsi:type="dcterms:W3CDTF">2020-07-06T07:00:51Z</dcterms:created>
  <dcterms:modified xsi:type="dcterms:W3CDTF">2021-11-25T01:46:44Z</dcterms:modified>
</cp:coreProperties>
</file>